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comments/comment1.xml" ContentType="application/vnd.openxmlformats-officedocument.spreadsheetml.comments+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08" yWindow="-108" windowWidth="30936" windowHeight="16776" tabRatio="500" firstSheet="0" activeTab="2" autoFilterDateGrouping="1"/>
  </bookViews>
  <sheets>
    <sheet xmlns:r="http://schemas.openxmlformats.org/officeDocument/2006/relationships" name="Norme" sheetId="1" state="visible" r:id="rId1"/>
    <sheet xmlns:r="http://schemas.openxmlformats.org/officeDocument/2006/relationships" name="Structura Investitie" sheetId="2" state="visible" r:id="rId2"/>
    <sheet xmlns:r="http://schemas.openxmlformats.org/officeDocument/2006/relationships" name="Date cladire" sheetId="3" state="visible" r:id="rId3"/>
    <sheet xmlns:r="http://schemas.openxmlformats.org/officeDocument/2006/relationships" name="D_001" sheetId="4" state="visible" r:id="rId4"/>
    <sheet xmlns:r="http://schemas.openxmlformats.org/officeDocument/2006/relationships" name="D_002" sheetId="5" state="visible" r:id="rId5"/>
    <sheet xmlns:r="http://schemas.openxmlformats.org/officeDocument/2006/relationships" name="D_003" sheetId="6" state="visible" r:id="rId6"/>
    <sheet xmlns:r="http://schemas.openxmlformats.org/officeDocument/2006/relationships" name="D_004" sheetId="7" state="visible" r:id="rId7"/>
    <sheet xmlns:r="http://schemas.openxmlformats.org/officeDocument/2006/relationships" name="D_005" sheetId="8" state="visible" r:id="rId8"/>
    <sheet xmlns:r="http://schemas.openxmlformats.org/officeDocument/2006/relationships" name="D_006" sheetId="9" state="visible" r:id="rId9"/>
    <sheet xmlns:r="http://schemas.openxmlformats.org/officeDocument/2006/relationships" name="D_007" sheetId="10" state="visible" r:id="rId10"/>
    <sheet xmlns:r="http://schemas.openxmlformats.org/officeDocument/2006/relationships" name="D_008" sheetId="11" state="visible" r:id="rId11"/>
    <sheet xmlns:r="http://schemas.openxmlformats.org/officeDocument/2006/relationships" name="D_009" sheetId="12" state="visible" r:id="rId12"/>
    <sheet xmlns:r="http://schemas.openxmlformats.org/officeDocument/2006/relationships" name="D_010" sheetId="13" state="visible" r:id="rId13"/>
    <sheet xmlns:r="http://schemas.openxmlformats.org/officeDocument/2006/relationships" name="D_011" sheetId="14" state="visible" r:id="rId14"/>
    <sheet xmlns:r="http://schemas.openxmlformats.org/officeDocument/2006/relationships" name="D_012" sheetId="15" state="visible" r:id="rId15"/>
    <sheet xmlns:r="http://schemas.openxmlformats.org/officeDocument/2006/relationships" name="D_013" sheetId="16" state="visible" r:id="rId16"/>
    <sheet xmlns:r="http://schemas.openxmlformats.org/officeDocument/2006/relationships" name="D_014" sheetId="17" state="visible" r:id="rId17"/>
    <sheet xmlns:r="http://schemas.openxmlformats.org/officeDocument/2006/relationships" name="D_015" sheetId="18" state="visible" r:id="rId18"/>
    <sheet xmlns:r="http://schemas.openxmlformats.org/officeDocument/2006/relationships" name="D_016" sheetId="19" state="visible" r:id="rId19"/>
    <sheet xmlns:r="http://schemas.openxmlformats.org/officeDocument/2006/relationships" name="D_017" sheetId="20" state="visible" r:id="rId20"/>
    <sheet xmlns:r="http://schemas.openxmlformats.org/officeDocument/2006/relationships" name="D_018" sheetId="21" state="visible" r:id="rId21"/>
    <sheet xmlns:r="http://schemas.openxmlformats.org/officeDocument/2006/relationships" name="D_019" sheetId="22" state="visible" r:id="rId22"/>
    <sheet xmlns:r="http://schemas.openxmlformats.org/officeDocument/2006/relationships" name="D_020" sheetId="23" state="visible" r:id="rId23"/>
    <sheet xmlns:r="http://schemas.openxmlformats.org/officeDocument/2006/relationships" name="D_021" sheetId="24" state="visible" r:id="rId24"/>
    <sheet xmlns:r="http://schemas.openxmlformats.org/officeDocument/2006/relationships" name="D_022" sheetId="25" state="visible" r:id="rId25"/>
    <sheet xmlns:r="http://schemas.openxmlformats.org/officeDocument/2006/relationships" name="D_023" sheetId="26" state="visible" r:id="rId26"/>
    <sheet xmlns:r="http://schemas.openxmlformats.org/officeDocument/2006/relationships" name="D_024" sheetId="27" state="visible" r:id="rId27"/>
    <sheet xmlns:r="http://schemas.openxmlformats.org/officeDocument/2006/relationships" name="D_025" sheetId="28" state="visible" r:id="rId28"/>
    <sheet xmlns:r="http://schemas.openxmlformats.org/officeDocument/2006/relationships" name="D_026" sheetId="29" state="visible" r:id="rId29"/>
    <sheet xmlns:r="http://schemas.openxmlformats.org/officeDocument/2006/relationships" name="D_027" sheetId="30" state="visible" r:id="rId30"/>
    <sheet xmlns:r="http://schemas.openxmlformats.org/officeDocument/2006/relationships" name="D_028" sheetId="31" state="visible" r:id="rId31"/>
    <sheet xmlns:r="http://schemas.openxmlformats.org/officeDocument/2006/relationships" name="D_029" sheetId="32" state="visible" r:id="rId32"/>
    <sheet xmlns:r="http://schemas.openxmlformats.org/officeDocument/2006/relationships" name="D_030" sheetId="33" state="visible" r:id="rId33"/>
    <sheet xmlns:r="http://schemas.openxmlformats.org/officeDocument/2006/relationships" name="D_031" sheetId="34" state="visible" r:id="rId34"/>
    <sheet xmlns:r="http://schemas.openxmlformats.org/officeDocument/2006/relationships" name="Antemasuratoare_BIM" sheetId="35" state="visible" r:id="rId35"/>
    <sheet xmlns:r="http://schemas.openxmlformats.org/officeDocument/2006/relationships" name="Sumar_Fatade_BIM" sheetId="36" state="visible" r:id="rId36"/>
    <sheet xmlns:r="http://schemas.openxmlformats.org/officeDocument/2006/relationships" name="Lista Cantitati" sheetId="37" state="visible" r:id="rId37"/>
  </sheets>
  <definedNames/>
  <calcPr calcId="191029" fullCalcOnLoad="1"/>
</workbook>
</file>

<file path=xl/styles.xml><?xml version="1.0" encoding="utf-8"?>
<styleSheet xmlns="http://schemas.openxmlformats.org/spreadsheetml/2006/main">
  <numFmts count="4">
    <numFmt numFmtId="164" formatCode="#.#000"/>
    <numFmt numFmtId="165" formatCode="#.#0"/>
    <numFmt numFmtId="166" formatCode="##0.000"/>
    <numFmt numFmtId="167" formatCode="##0.00"/>
  </numFmts>
  <fonts count="54">
    <font>
      <name val="Calibri"/>
      <family val="2"/>
      <color rgb="FF000000"/>
      <sz val="11"/>
    </font>
    <font>
      <name val="Courier New"/>
      <family val="3"/>
      <color rgb="FF000000"/>
      <sz val="14"/>
    </font>
    <font>
      <name val="Courier New"/>
      <family val="3"/>
      <color rgb="FF000000"/>
      <sz val="10"/>
    </font>
    <font>
      <name val="Courier New"/>
      <family val="3"/>
      <color rgb="FF800080"/>
      <sz val="8"/>
    </font>
    <font>
      <name val="Courier New"/>
      <family val="3"/>
      <color rgb="FFFF0000"/>
      <sz val="8"/>
    </font>
    <font>
      <name val="Courier New"/>
      <family val="3"/>
      <color rgb="FF0000FF"/>
      <sz val="8"/>
    </font>
    <font>
      <name val="Calibri"/>
      <charset val="238"/>
      <family val="2"/>
      <color rgb="FF000000"/>
      <sz val="11"/>
    </font>
    <font>
      <name val="Verdana"/>
      <charset val="238"/>
      <family val="2"/>
      <color rgb="FF000000"/>
      <sz val="12"/>
    </font>
    <font>
      <name val="Verdana"/>
      <family val="2"/>
      <color rgb="FF000000"/>
      <sz val="12"/>
    </font>
    <font>
      <name val="Verdana"/>
      <charset val="238"/>
      <family val="2"/>
      <color rgb="FF0000FF"/>
      <sz val="12"/>
    </font>
    <font>
      <name val="Verdana"/>
      <family val="2"/>
      <color rgb="FF0000FF"/>
      <sz val="12"/>
    </font>
    <font>
      <name val="Courier New"/>
      <family val="3"/>
      <color rgb="FF008000"/>
      <sz val="8"/>
    </font>
    <font>
      <name val="Courier New"/>
      <family val="3"/>
      <color rgb="FF800000"/>
      <sz val="8"/>
    </font>
    <font>
      <name val="Verdana"/>
      <charset val="238"/>
      <family val="2"/>
      <color rgb="FF000000"/>
      <sz val="9"/>
    </font>
    <font>
      <name val="Verdana"/>
      <charset val="238"/>
      <family val="2"/>
      <color rgb="FF0000FF"/>
      <sz val="9"/>
    </font>
    <font>
      <name val="Courier New"/>
      <family val="3"/>
      <b val="1"/>
      <color rgb="FF000000"/>
      <sz val="10"/>
    </font>
    <font>
      <name val="Verdana"/>
      <charset val="238"/>
      <family val="2"/>
      <sz val="9"/>
    </font>
    <font>
      <name val="Courier New"/>
      <charset val="238"/>
      <family val="3"/>
      <sz val="10"/>
    </font>
    <font>
      <name val="Courier New"/>
      <family val="3"/>
      <sz val="10"/>
    </font>
    <font>
      <name val="Courier New"/>
      <family val="3"/>
      <sz val="11"/>
    </font>
    <font>
      <name val="Calibri"/>
      <family val="2"/>
      <b val="1"/>
      <color rgb="FF000000"/>
      <sz val="11"/>
    </font>
    <font>
      <name val="Calibri"/>
      <family val="2"/>
      <i val="1"/>
      <color rgb="FF000000"/>
      <sz val="11"/>
    </font>
    <font>
      <name val="Calibri"/>
      <family val="2"/>
      <color rgb="FFFF0000"/>
      <sz val="11"/>
    </font>
    <font>
      <name val="Calibri"/>
      <family val="2"/>
      <color rgb="FF000000"/>
      <sz val="8"/>
    </font>
    <font>
      <name val="Calibri"/>
      <charset val="238"/>
      <family val="2"/>
      <color rgb="FFFF0000"/>
      <sz val="11"/>
    </font>
    <font>
      <name val="Courier New"/>
      <charset val="238"/>
      <family val="3"/>
      <color rgb="FF000000"/>
      <sz val="10"/>
    </font>
    <font>
      <name val="Calibri Light"/>
      <family val="2"/>
      <color rgb="FF000000"/>
      <sz val="10"/>
    </font>
    <font>
      <name val="Calibri"/>
      <family val="2"/>
      <b val="1"/>
      <color rgb="FFFF0000"/>
      <sz val="11"/>
    </font>
    <font>
      <name val="Calibri"/>
      <family val="2"/>
      <color rgb="FF800080"/>
      <sz val="11"/>
    </font>
    <font>
      <name val="Calibri"/>
      <family val="2"/>
      <sz val="11"/>
    </font>
    <font>
      <name val="Calibri"/>
      <family val="2"/>
      <color rgb="FF333399"/>
      <sz val="11"/>
    </font>
    <font>
      <name val="Courier New"/>
      <family val="3"/>
      <color rgb="FF000000"/>
      <sz val="11"/>
    </font>
    <font>
      <name val="Courier New"/>
      <family val="3"/>
      <color rgb="FF800080"/>
      <sz val="10"/>
    </font>
    <font>
      <name val="Calibri"/>
      <family val="2"/>
      <b val="1"/>
      <i val="1"/>
      <color rgb="FF000000"/>
      <sz val="11"/>
    </font>
    <font>
      <name val="Courier New"/>
      <family val="3"/>
      <sz val="14"/>
    </font>
    <font>
      <name val="Courier New"/>
      <family val="3"/>
      <color rgb="FFFF0000"/>
      <sz val="10"/>
    </font>
    <font>
      <name val="Calibri"/>
      <charset val="238"/>
      <family val="2"/>
      <sz val="11"/>
    </font>
    <font>
      <name val="Calibri"/>
      <family val="2"/>
      <b val="1"/>
      <color rgb="FF000000"/>
      <sz val="12"/>
    </font>
    <font>
      <name val="Courier New"/>
      <family val="3"/>
      <color rgb="FF333399"/>
      <sz val="10"/>
    </font>
    <font>
      <name val="Calibri"/>
      <charset val="238"/>
      <family val="2"/>
      <i val="1"/>
      <color rgb="FF000000"/>
      <sz val="11"/>
    </font>
    <font>
      <name val="Arial"/>
      <charset val="238"/>
      <family val="2"/>
      <i val="1"/>
      <sz val="10"/>
    </font>
    <font>
      <name val="Arial"/>
      <charset val="238"/>
      <family val="2"/>
      <color rgb="FFFF0000"/>
      <sz val="10"/>
    </font>
    <font>
      <name val="Calibri"/>
      <charset val="238"/>
      <family val="2"/>
      <b val="1"/>
      <color rgb="FF000000"/>
      <sz val="11"/>
    </font>
    <font>
      <name val="Courier New"/>
      <charset val="238"/>
      <family val="3"/>
      <b val="1"/>
      <color rgb="FF000000"/>
      <sz val="11"/>
    </font>
    <font>
      <name val="Calibri"/>
      <family val="2"/>
      <i val="1"/>
      <sz val="11"/>
    </font>
    <font>
      <name val="Courier New"/>
      <family val="3"/>
      <color rgb="FF000000"/>
      <sz val="12"/>
    </font>
    <font>
      <name val="Calibri"/>
      <family val="2"/>
      <color rgb="FF000000"/>
      <sz val="12"/>
    </font>
    <font>
      <name val="Calibri"/>
      <family val="2"/>
      <color rgb="FF000000"/>
      <sz val="10"/>
    </font>
    <font>
      <name val="Courier New"/>
      <family val="3"/>
      <color rgb="FF0000FF"/>
      <sz val="10"/>
    </font>
    <font>
      <name val="Calibri"/>
      <family val="2"/>
      <color rgb="FF0000FF"/>
      <sz val="10"/>
    </font>
    <font>
      <name val="Calibri"/>
      <family val="2"/>
      <color rgb="FF000000"/>
      <sz val="11"/>
    </font>
    <font>
      <name val="Calibri"/>
      <b val="1"/>
      <color rgb="001F4E79"/>
      <sz val="13"/>
    </font>
    <font>
      <name val="Calibri"/>
      <b val="1"/>
      <color rgb="00FFFFFF"/>
      <sz val="11"/>
    </font>
    <font>
      <name val="Calibri"/>
      <b val="1"/>
      <color rgb="00006100"/>
      <sz val="11"/>
    </font>
  </fonts>
  <fills count="18">
    <fill>
      <patternFill/>
    </fill>
    <fill>
      <patternFill patternType="gray125"/>
    </fill>
    <fill>
      <patternFill patternType="solid">
        <fgColor rgb="FFFFFFFF"/>
        <bgColor rgb="FFFFFFCC"/>
      </patternFill>
    </fill>
    <fill>
      <patternFill patternType="solid">
        <fgColor rgb="FFC0C0C0"/>
        <bgColor rgb="FFCCCCFF"/>
      </patternFill>
    </fill>
    <fill>
      <patternFill patternType="solid">
        <fgColor rgb="FFFFFF00"/>
        <bgColor rgb="FFFFFF00"/>
      </patternFill>
    </fill>
    <fill>
      <patternFill patternType="solid">
        <fgColor rgb="FFCCCCFF"/>
        <bgColor rgb="FFC0C0C0"/>
      </patternFill>
    </fill>
    <fill>
      <patternFill patternType="solid">
        <fgColor rgb="FFFFCC99"/>
        <bgColor rgb="FFC0C0C0"/>
      </patternFill>
    </fill>
    <fill>
      <patternFill patternType="solid">
        <fgColor rgb="FFFFFFCC"/>
        <bgColor rgb="FFFFFFFF"/>
      </patternFill>
    </fill>
    <fill>
      <patternFill patternType="solid">
        <fgColor rgb="FFCCFFCC"/>
        <bgColor rgb="FFCCFFFF"/>
      </patternFill>
    </fill>
    <fill>
      <patternFill patternType="solid">
        <fgColor rgb="FFCCFFFF"/>
        <bgColor rgb="FFCCFFFF"/>
      </patternFill>
    </fill>
    <fill>
      <patternFill patternType="solid">
        <fgColor rgb="FF99CC00"/>
        <bgColor rgb="FFFFCC00"/>
      </patternFill>
    </fill>
    <fill>
      <patternFill patternType="solid">
        <fgColor rgb="FFFFCC00"/>
        <bgColor rgb="FFFFFF00"/>
      </patternFill>
    </fill>
    <fill>
      <patternFill patternType="solid">
        <fgColor rgb="FFFF6600"/>
        <bgColor rgb="FFFF9900"/>
      </patternFill>
    </fill>
    <fill>
      <patternFill patternType="solid">
        <fgColor rgb="FF969696"/>
        <bgColor rgb="FF808080"/>
      </patternFill>
    </fill>
    <fill>
      <patternFill patternType="solid">
        <fgColor rgb="FF339966"/>
        <bgColor rgb="FF008080"/>
      </patternFill>
    </fill>
    <fill>
      <patternFill patternType="solid">
        <fgColor theme="2"/>
        <bgColor rgb="FF003366"/>
      </patternFill>
    </fill>
    <fill>
      <patternFill patternType="solid">
        <fgColor rgb="001F4E79"/>
        <bgColor rgb="001F4E79"/>
      </patternFill>
    </fill>
    <fill>
      <patternFill patternType="solid">
        <fgColor rgb="00C6EFCE"/>
        <bgColor rgb="00C6EFCE"/>
      </patternFill>
    </fill>
  </fills>
  <borders count="15">
    <border>
      <left/>
      <right/>
      <top/>
      <bottom/>
      <diagonal/>
    </border>
    <border>
      <left style="double">
        <color auto="1"/>
      </left>
      <right style="double">
        <color auto="1"/>
      </right>
      <top style="double">
        <color auto="1"/>
      </top>
      <bottom style="double">
        <color auto="1"/>
      </bottom>
      <diagonal/>
    </border>
    <border>
      <left style="thin">
        <color auto="1"/>
      </left>
      <right style="thin">
        <color auto="1"/>
      </right>
      <top style="thin">
        <color auto="1"/>
      </top>
      <bottom style="thin">
        <color auto="1"/>
      </bottom>
      <diagonal/>
    </border>
    <border>
      <left style="double">
        <color auto="1"/>
      </left>
      <right style="double">
        <color auto="1"/>
      </right>
      <top style="double">
        <color auto="1"/>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double">
        <color auto="1"/>
      </right>
      <top style="double">
        <color auto="1"/>
      </top>
      <bottom style="double">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top style="thin">
        <color auto="1"/>
      </top>
      <bottom/>
      <diagonal/>
    </border>
    <border>
      <left style="thin">
        <color auto="1"/>
      </left>
      <right/>
      <top/>
      <bottom/>
      <diagonal/>
    </border>
    <border>
      <left style="double">
        <color auto="1"/>
      </left>
      <right/>
      <top style="double">
        <color auto="1"/>
      </top>
      <bottom/>
      <diagonal/>
    </border>
    <border>
      <left style="thin">
        <color auto="1"/>
      </left>
      <right style="thin">
        <color auto="1"/>
      </right>
      <top/>
      <bottom/>
      <diagonal/>
    </border>
    <border>
      <left style="thin"/>
      <right style="thin"/>
      <top style="thin"/>
      <bottom style="thin"/>
    </border>
  </borders>
  <cellStyleXfs count="17">
    <xf numFmtId="0" fontId="50" fillId="0" borderId="0"/>
    <xf numFmtId="0" fontId="1" fillId="2" borderId="1" applyAlignment="1">
      <alignment horizontal="left"/>
    </xf>
    <xf numFmtId="164" fontId="2" fillId="2" borderId="2" applyAlignment="1">
      <alignment horizontal="right"/>
    </xf>
    <xf numFmtId="164" fontId="3" fillId="2" borderId="2" applyAlignment="1">
      <alignment horizontal="right"/>
    </xf>
    <xf numFmtId="164" fontId="4" fillId="2" borderId="2" applyAlignment="1">
      <alignment horizontal="right"/>
    </xf>
    <xf numFmtId="164" fontId="5" fillId="2" borderId="2" applyAlignment="1">
      <alignment horizontal="right"/>
    </xf>
    <xf numFmtId="0" fontId="50" fillId="3" borderId="0"/>
    <xf numFmtId="0" fontId="6" fillId="0" borderId="0"/>
    <xf numFmtId="164" fontId="2" fillId="2" borderId="2" applyAlignment="1">
      <alignment horizontal="right"/>
    </xf>
    <xf numFmtId="164" fontId="2" fillId="2" borderId="2" applyAlignment="1">
      <alignment horizontal="right"/>
    </xf>
    <xf numFmtId="0" fontId="7" fillId="2" borderId="2" applyAlignment="1">
      <alignment horizontal="center" vertical="center" wrapText="1"/>
    </xf>
    <xf numFmtId="166" fontId="8" fillId="2" borderId="2" applyAlignment="1">
      <alignment horizontal="right" vertical="center" wrapText="1"/>
    </xf>
    <xf numFmtId="0" fontId="9" fillId="2" borderId="2" applyAlignment="1">
      <alignment horizontal="left" vertical="center" wrapText="1"/>
    </xf>
    <xf numFmtId="166" fontId="10" fillId="2" borderId="2" applyAlignment="1">
      <alignment horizontal="right" vertical="center" wrapText="1"/>
    </xf>
    <xf numFmtId="164" fontId="11" fillId="2" borderId="2" applyAlignment="1">
      <alignment horizontal="right"/>
    </xf>
    <xf numFmtId="164" fontId="2" fillId="2" borderId="2" applyAlignment="1">
      <alignment horizontal="right"/>
    </xf>
    <xf numFmtId="164" fontId="12" fillId="2" borderId="2" applyAlignment="1">
      <alignment horizontal="right"/>
    </xf>
  </cellStyleXfs>
  <cellXfs count="294">
    <xf numFmtId="0" fontId="0" fillId="0" borderId="0" pivotButton="0" quotePrefix="0" xfId="0"/>
    <xf numFmtId="0" fontId="13" fillId="2" borderId="2" applyAlignment="1" pivotButton="0" quotePrefix="0" xfId="0">
      <alignment horizontal="center" vertical="center" wrapText="1"/>
    </xf>
    <xf numFmtId="0" fontId="13" fillId="2" borderId="2" applyAlignment="1" pivotButton="0" quotePrefix="0" xfId="0">
      <alignment horizontal="left" vertical="center" wrapText="1"/>
    </xf>
    <xf numFmtId="0" fontId="14" fillId="2" borderId="2" applyAlignment="1" pivotButton="0" quotePrefix="0" xfId="0">
      <alignment horizontal="center" vertical="center" wrapText="1"/>
    </xf>
    <xf numFmtId="0" fontId="14" fillId="2" borderId="2" applyAlignment="1" pivotButton="0" quotePrefix="0" xfId="0">
      <alignment horizontal="left" vertical="center" wrapText="1"/>
    </xf>
    <xf numFmtId="0" fontId="13" fillId="0" borderId="2" applyAlignment="1" pivotButton="0" quotePrefix="0" xfId="0">
      <alignment vertical="center" wrapText="1"/>
    </xf>
    <xf numFmtId="0" fontId="13" fillId="0" borderId="2" applyAlignment="1" pivotButton="0" quotePrefix="0" xfId="0">
      <alignment horizontal="right" vertical="center" wrapText="1"/>
    </xf>
    <xf numFmtId="0" fontId="2" fillId="2" borderId="2" applyAlignment="1" pivotButton="0" quotePrefix="0" xfId="13">
      <alignment horizontal="left" wrapText="1"/>
    </xf>
    <xf numFmtId="0" fontId="13" fillId="0" borderId="0" applyAlignment="1" pivotButton="0" quotePrefix="0" xfId="0">
      <alignment horizontal="left" vertical="center" wrapText="1"/>
    </xf>
    <xf numFmtId="0" fontId="2" fillId="2" borderId="2" applyAlignment="1" pivotButton="0" quotePrefix="0" xfId="13">
      <alignment horizontal="left"/>
    </xf>
    <xf numFmtId="0" fontId="2" fillId="0" borderId="2" applyAlignment="1" pivotButton="0" quotePrefix="0" xfId="0">
      <alignment horizontal="left" vertical="center" wrapText="1"/>
    </xf>
    <xf numFmtId="0" fontId="2" fillId="0" borderId="2" applyAlignment="1" pivotButton="0" quotePrefix="0" xfId="0">
      <alignment vertical="center" wrapText="1"/>
    </xf>
    <xf numFmtId="0" fontId="2" fillId="2" borderId="2" applyAlignment="1" pivotButton="0" quotePrefix="0" xfId="15">
      <alignment horizontal="left" vertical="center" wrapText="1"/>
    </xf>
    <xf numFmtId="0" fontId="2" fillId="2" borderId="2" applyAlignment="1" pivotButton="0" quotePrefix="0" xfId="13">
      <alignment horizontal="left" vertical="center" wrapText="1"/>
    </xf>
    <xf numFmtId="0" fontId="16" fillId="0" borderId="0" applyAlignment="1" pivotButton="0" quotePrefix="0" xfId="0">
      <alignment horizontal="center" vertical="center" wrapText="1"/>
    </xf>
    <xf numFmtId="0" fontId="17" fillId="0" borderId="2" applyAlignment="1" pivotButton="0" quotePrefix="0" xfId="0">
      <alignment horizontal="left" vertical="center" wrapText="1"/>
    </xf>
    <xf numFmtId="0" fontId="18" fillId="0" borderId="2" applyAlignment="1" pivotButton="0" quotePrefix="0" xfId="13">
      <alignment horizontal="left" vertical="center" wrapText="1"/>
    </xf>
    <xf numFmtId="0" fontId="19" fillId="0" borderId="2" applyAlignment="1" pivotButton="0" quotePrefix="0" xfId="0">
      <alignment vertical="top" wrapText="1"/>
    </xf>
    <xf numFmtId="0" fontId="19" fillId="0" borderId="2" applyAlignment="1" pivotButton="0" quotePrefix="0" xfId="0">
      <alignment wrapText="1"/>
    </xf>
    <xf numFmtId="0" fontId="2" fillId="2" borderId="2" applyAlignment="1" pivotButton="0" quotePrefix="0" xfId="0">
      <alignment horizontal="left" vertical="center" wrapText="1"/>
    </xf>
    <xf numFmtId="0" fontId="2" fillId="0" borderId="0" applyAlignment="1" pivotButton="0" quotePrefix="0" xfId="0">
      <alignment vertical="center" wrapText="1"/>
    </xf>
    <xf numFmtId="0" fontId="20" fillId="3" borderId="0" applyAlignment="1" pivotButton="0" quotePrefix="0" xfId="0">
      <alignment vertical="center" wrapText="1"/>
    </xf>
    <xf numFmtId="0" fontId="21" fillId="0" borderId="0" applyAlignment="1" pivotButton="0" quotePrefix="0" xfId="0">
      <alignment vertical="center" wrapText="1"/>
    </xf>
    <xf numFmtId="0" fontId="0" fillId="0" borderId="0" pivotButton="0" quotePrefix="0" xfId="0"/>
    <xf numFmtId="0" fontId="20" fillId="0" borderId="0" applyAlignment="1" pivotButton="0" quotePrefix="0" xfId="0">
      <alignment horizontal="center"/>
    </xf>
    <xf numFmtId="0" fontId="20" fillId="0" borderId="2" applyAlignment="1" pivotButton="0" quotePrefix="0" xfId="0">
      <alignment wrapText="1"/>
    </xf>
    <xf numFmtId="0" fontId="0" fillId="0" borderId="2" applyAlignment="1" pivotButton="0" quotePrefix="0" xfId="0">
      <alignment wrapText="1"/>
    </xf>
    <xf numFmtId="0" fontId="0" fillId="3" borderId="2" applyAlignment="1" pivotButton="0" quotePrefix="0" xfId="0">
      <alignment wrapText="1"/>
    </xf>
    <xf numFmtId="0" fontId="23" fillId="3" borderId="2" applyAlignment="1" pivotButton="0" quotePrefix="0" xfId="0">
      <alignment wrapText="1"/>
    </xf>
    <xf numFmtId="0" fontId="0" fillId="4" borderId="0" pivotButton="0" quotePrefix="0" xfId="0"/>
    <xf numFmtId="0" fontId="0" fillId="5" borderId="2" applyAlignment="1" pivotButton="0" quotePrefix="0" xfId="0">
      <alignment wrapText="1"/>
    </xf>
    <xf numFmtId="0" fontId="0" fillId="6" borderId="0" pivotButton="0" quotePrefix="0" xfId="0"/>
    <xf numFmtId="0" fontId="0" fillId="5" borderId="2" applyAlignment="1" pivotButton="0" quotePrefix="0" xfId="0">
      <alignment horizontal="right" wrapText="1"/>
    </xf>
    <xf numFmtId="0" fontId="0" fillId="7" borderId="2" applyAlignment="1" pivotButton="0" quotePrefix="0" xfId="0">
      <alignment wrapText="1"/>
    </xf>
    <xf numFmtId="0" fontId="0" fillId="8" borderId="2" applyAlignment="1" pivotButton="0" quotePrefix="0" xfId="0">
      <alignment wrapText="1"/>
    </xf>
    <xf numFmtId="0" fontId="0" fillId="6" borderId="2" applyAlignment="1" pivotButton="0" quotePrefix="0" xfId="0">
      <alignment wrapText="1"/>
    </xf>
    <xf numFmtId="0" fontId="0" fillId="7" borderId="2" pivotButton="0" quotePrefix="0" xfId="0"/>
    <xf numFmtId="0" fontId="0" fillId="6" borderId="2" pivotButton="0" quotePrefix="0" xfId="0"/>
    <xf numFmtId="0" fontId="0" fillId="3" borderId="2" pivotButton="0" quotePrefix="0" xfId="0"/>
    <xf numFmtId="0" fontId="0" fillId="8" borderId="2" pivotButton="0" quotePrefix="0" xfId="0"/>
    <xf numFmtId="0" fontId="0" fillId="9" borderId="2" pivotButton="0" quotePrefix="0" xfId="0"/>
    <xf numFmtId="0" fontId="0" fillId="0" borderId="2" pivotButton="0" quotePrefix="0" xfId="0"/>
    <xf numFmtId="0" fontId="6" fillId="0" borderId="2" pivotButton="0" quotePrefix="0" xfId="0"/>
    <xf numFmtId="0" fontId="0" fillId="5" borderId="2" pivotButton="0" quotePrefix="0" xfId="0"/>
    <xf numFmtId="0" fontId="6" fillId="0" borderId="0" applyAlignment="1" pivotButton="0" quotePrefix="0" xfId="0">
      <alignment wrapText="1"/>
    </xf>
    <xf numFmtId="0" fontId="21" fillId="0" borderId="0" applyAlignment="1" pivotButton="0" quotePrefix="0" xfId="0">
      <alignment wrapText="1"/>
    </xf>
    <xf numFmtId="0" fontId="21" fillId="0" borderId="0" pivotButton="0" quotePrefix="0" xfId="0"/>
    <xf numFmtId="0" fontId="1" fillId="2" borderId="3" applyAlignment="1" pivotButton="0" quotePrefix="0" xfId="11">
      <alignment horizontal="left" vertical="center" wrapText="1"/>
    </xf>
    <xf numFmtId="0" fontId="1" fillId="2" borderId="1" applyAlignment="1" pivotButton="0" quotePrefix="0" xfId="11">
      <alignment horizontal="left" vertical="center" wrapText="1"/>
    </xf>
    <xf numFmtId="0" fontId="0" fillId="0" borderId="2" applyAlignment="1" pivotButton="0" quotePrefix="0" xfId="0">
      <alignment vertical="center" wrapText="1"/>
    </xf>
    <xf numFmtId="0" fontId="24" fillId="0" borderId="0" applyAlignment="1" pivotButton="0" quotePrefix="0" xfId="0">
      <alignment wrapText="1"/>
    </xf>
    <xf numFmtId="0" fontId="0" fillId="2" borderId="0" applyAlignment="1" pivotButton="0" quotePrefix="0" xfId="0">
      <alignment wrapText="1"/>
    </xf>
    <xf numFmtId="2" fontId="0" fillId="0" borderId="0" applyAlignment="1" pivotButton="0" quotePrefix="0" xfId="0">
      <alignment vertical="center" wrapText="1"/>
    </xf>
    <xf numFmtId="0" fontId="25" fillId="2" borderId="2" applyAlignment="1" pivotButton="0" quotePrefix="0" xfId="13">
      <alignment horizontal="left" vertical="center" wrapText="1"/>
    </xf>
    <xf numFmtId="0" fontId="16" fillId="2" borderId="2" applyAlignment="1" pivotButton="0" quotePrefix="0" xfId="0">
      <alignment horizontal="left" vertical="center" wrapText="1"/>
    </xf>
    <xf numFmtId="2" fontId="0" fillId="10" borderId="0" applyAlignment="1" pivotButton="0" quotePrefix="0" xfId="0">
      <alignment vertical="center" wrapText="1"/>
    </xf>
    <xf numFmtId="0" fontId="0" fillId="10" borderId="0" applyAlignment="1" pivotButton="0" quotePrefix="0" xfId="0">
      <alignment vertical="center" wrapText="1"/>
    </xf>
    <xf numFmtId="0" fontId="0" fillId="10" borderId="0" applyAlignment="1" pivotButton="0" quotePrefix="0" xfId="0">
      <alignment wrapText="1"/>
    </xf>
    <xf numFmtId="0" fontId="6" fillId="0" borderId="0" applyAlignment="1" pivotButton="0" quotePrefix="0" xfId="0">
      <alignment vertical="center" wrapText="1"/>
    </xf>
    <xf numFmtId="0" fontId="21" fillId="0" borderId="0" applyAlignment="1" pivotButton="0" quotePrefix="0" xfId="0">
      <alignment horizontal="center" vertical="center" wrapText="1"/>
    </xf>
    <xf numFmtId="0" fontId="21" fillId="0" borderId="0" applyAlignment="1" pivotButton="0" quotePrefix="0" xfId="0">
      <alignment vertical="center"/>
    </xf>
    <xf numFmtId="0" fontId="1" fillId="2" borderId="1" applyAlignment="1" pivotButton="0" quotePrefix="0" xfId="11">
      <alignment horizontal="left" wrapText="1"/>
    </xf>
    <xf numFmtId="0" fontId="2" fillId="2" borderId="2" applyAlignment="1" pivotButton="0" quotePrefix="0" xfId="15">
      <alignment horizontal="left" wrapText="1"/>
    </xf>
    <xf numFmtId="2" fontId="0" fillId="0" borderId="0" applyAlignment="1" pivotButton="0" quotePrefix="0" xfId="0">
      <alignment wrapText="1"/>
    </xf>
    <xf numFmtId="0" fontId="26" fillId="0" borderId="2" applyAlignment="1" pivotButton="0" quotePrefix="0" xfId="0">
      <alignment vertical="center" wrapText="1"/>
    </xf>
    <xf numFmtId="0" fontId="27" fillId="0" borderId="0" applyAlignment="1" pivotButton="0" quotePrefix="0" xfId="0">
      <alignment horizontal="center" vertical="center" wrapText="1"/>
    </xf>
    <xf numFmtId="2" fontId="0" fillId="2" borderId="0" applyAlignment="1" pivotButton="0" quotePrefix="0" xfId="0">
      <alignment vertical="center" wrapText="1"/>
    </xf>
    <xf numFmtId="0" fontId="0" fillId="2" borderId="2" applyAlignment="1" pivotButton="0" quotePrefix="0" xfId="0">
      <alignment vertical="center" wrapText="1"/>
    </xf>
    <xf numFmtId="2" fontId="28" fillId="10" borderId="0" applyAlignment="1" pivotButton="0" quotePrefix="0" xfId="0">
      <alignment vertical="center" wrapText="1"/>
    </xf>
    <xf numFmtId="0" fontId="6" fillId="0" borderId="4" applyAlignment="1" pivotButton="0" quotePrefix="0" xfId="0">
      <alignment wrapText="1"/>
    </xf>
    <xf numFmtId="2" fontId="0" fillId="8" borderId="0" applyAlignment="1" pivotButton="0" quotePrefix="0" xfId="0">
      <alignment vertical="center" wrapText="1"/>
    </xf>
    <xf numFmtId="0" fontId="0" fillId="8" borderId="0" applyAlignment="1" pivotButton="0" quotePrefix="0" xfId="0">
      <alignment vertical="center" wrapText="1"/>
    </xf>
    <xf numFmtId="0" fontId="6" fillId="0" borderId="2" applyAlignment="1" pivotButton="0" quotePrefix="0" xfId="0">
      <alignment vertical="center" wrapText="1"/>
    </xf>
    <xf numFmtId="0" fontId="2" fillId="0" borderId="2" applyAlignment="1" pivotButton="0" quotePrefix="0" xfId="0">
      <alignment horizontal="center" vertical="center" wrapText="1"/>
    </xf>
    <xf numFmtId="0" fontId="2" fillId="2" borderId="2" applyAlignment="1" pivotButton="0" quotePrefix="0" xfId="0">
      <alignment vertical="center" wrapText="1"/>
    </xf>
    <xf numFmtId="0" fontId="6" fillId="10" borderId="0" applyAlignment="1" pivotButton="0" quotePrefix="0" xfId="0">
      <alignment vertical="center" wrapText="1"/>
    </xf>
    <xf numFmtId="0" fontId="18" fillId="2" borderId="2" applyAlignment="1" pivotButton="0" quotePrefix="0" xfId="13">
      <alignment horizontal="left" vertical="center" wrapText="1"/>
    </xf>
    <xf numFmtId="2" fontId="0" fillId="10" borderId="0" applyAlignment="1" pivotButton="0" quotePrefix="0" xfId="0">
      <alignment wrapText="1"/>
    </xf>
    <xf numFmtId="0" fontId="2" fillId="0" borderId="2" applyAlignment="1" pivotButton="0" quotePrefix="0" xfId="0">
      <alignment horizontal="left" wrapText="1"/>
    </xf>
    <xf numFmtId="0" fontId="2" fillId="0" borderId="2" applyAlignment="1" pivotButton="0" quotePrefix="0" xfId="0">
      <alignment wrapText="1"/>
    </xf>
    <xf numFmtId="0" fontId="20" fillId="11" borderId="0" applyAlignment="1" pivotButton="0" quotePrefix="0" xfId="0">
      <alignment vertical="center" wrapText="1"/>
    </xf>
    <xf numFmtId="0" fontId="0" fillId="11" borderId="0" applyAlignment="1" pivotButton="0" quotePrefix="0" xfId="0">
      <alignment vertical="center" wrapText="1"/>
    </xf>
    <xf numFmtId="2" fontId="29" fillId="0" borderId="0" applyAlignment="1" pivotButton="0" quotePrefix="0" xfId="0">
      <alignment vertical="center" wrapText="1"/>
    </xf>
    <xf numFmtId="2" fontId="29" fillId="3" borderId="0" applyAlignment="1" pivotButton="0" quotePrefix="0" xfId="0">
      <alignment vertical="center" wrapText="1"/>
    </xf>
    <xf numFmtId="0" fontId="29" fillId="3" borderId="0" applyAlignment="1" pivotButton="0" quotePrefix="0" xfId="0">
      <alignment vertical="center" wrapText="1"/>
    </xf>
    <xf numFmtId="2" fontId="29" fillId="10" borderId="0" applyAlignment="1" pivotButton="0" quotePrefix="0" xfId="0">
      <alignment vertical="center" wrapText="1"/>
    </xf>
    <xf numFmtId="0" fontId="29" fillId="10" borderId="0" applyAlignment="1" pivotButton="0" quotePrefix="0" xfId="0">
      <alignment vertical="center" wrapText="1"/>
    </xf>
    <xf numFmtId="0" fontId="15" fillId="2" borderId="2" applyAlignment="1" pivotButton="0" quotePrefix="0" xfId="13">
      <alignment horizontal="left" vertical="center" wrapText="1"/>
    </xf>
    <xf numFmtId="0" fontId="2" fillId="2" borderId="2" applyAlignment="1" pivotButton="0" quotePrefix="0" xfId="13">
      <alignment vertical="top" wrapText="1"/>
    </xf>
    <xf numFmtId="0" fontId="22" fillId="0" borderId="0" applyAlignment="1" pivotButton="0" quotePrefix="0" xfId="0">
      <alignment wrapText="1"/>
    </xf>
    <xf numFmtId="0" fontId="20" fillId="12" borderId="0" applyAlignment="1" pivotButton="0" quotePrefix="0" xfId="0">
      <alignment vertical="center" wrapText="1"/>
    </xf>
    <xf numFmtId="0" fontId="20" fillId="0" borderId="0" applyAlignment="1" pivotButton="0" quotePrefix="0" xfId="0">
      <alignment vertical="center" wrapText="1"/>
    </xf>
    <xf numFmtId="0" fontId="0" fillId="12" borderId="0" applyAlignment="1" pivotButton="0" quotePrefix="0" xfId="0">
      <alignment vertical="center" wrapText="1"/>
    </xf>
    <xf numFmtId="0" fontId="2" fillId="2" borderId="2" applyAlignment="1" pivotButton="0" quotePrefix="0" xfId="13">
      <alignment horizontal="left" vertical="top" wrapText="1"/>
    </xf>
    <xf numFmtId="2" fontId="29" fillId="2" borderId="0" applyAlignment="1" pivotButton="0" quotePrefix="0" xfId="0">
      <alignment vertical="center" wrapText="1"/>
    </xf>
    <xf numFmtId="0" fontId="29" fillId="2" borderId="0" applyAlignment="1" pivotButton="0" quotePrefix="0" xfId="0">
      <alignment vertical="center" wrapText="1"/>
    </xf>
    <xf numFmtId="0" fontId="0" fillId="2" borderId="0" applyAlignment="1" pivotButton="0" quotePrefix="0" xfId="0">
      <alignment vertical="top" wrapText="1"/>
    </xf>
    <xf numFmtId="0" fontId="0" fillId="3" borderId="0" applyAlignment="1" pivotButton="0" quotePrefix="0" xfId="0">
      <alignment vertical="center" wrapText="1"/>
    </xf>
    <xf numFmtId="2" fontId="0" fillId="3" borderId="0" applyAlignment="1" pivotButton="0" quotePrefix="0" xfId="0">
      <alignment vertical="center" wrapText="1"/>
    </xf>
    <xf numFmtId="2" fontId="0" fillId="13" borderId="0" applyAlignment="1" pivotButton="0" quotePrefix="0" xfId="0">
      <alignment vertical="center" wrapText="1"/>
    </xf>
    <xf numFmtId="0" fontId="0" fillId="13" borderId="0" applyAlignment="1" pivotButton="0" quotePrefix="0" xfId="0">
      <alignment vertical="center" wrapText="1"/>
    </xf>
    <xf numFmtId="2" fontId="29" fillId="13" borderId="0" applyAlignment="1" pivotButton="0" quotePrefix="0" xfId="0">
      <alignment vertical="center" wrapText="1"/>
    </xf>
    <xf numFmtId="0" fontId="29" fillId="13" borderId="0" applyAlignment="1" pivotButton="0" quotePrefix="0" xfId="0">
      <alignment vertical="center" wrapText="1"/>
    </xf>
    <xf numFmtId="0" fontId="2" fillId="2" borderId="2" applyAlignment="1" pivotButton="0" quotePrefix="0" xfId="13">
      <alignment horizontal="left" vertical="center"/>
    </xf>
    <xf numFmtId="0" fontId="30" fillId="0" borderId="0" applyAlignment="1" pivotButton="0" quotePrefix="0" xfId="0">
      <alignment vertical="center" wrapText="1"/>
    </xf>
    <xf numFmtId="0" fontId="6" fillId="0" borderId="2" applyAlignment="1" pivotButton="0" quotePrefix="0" xfId="0">
      <alignment wrapText="1"/>
    </xf>
    <xf numFmtId="0" fontId="24" fillId="0" borderId="2" applyAlignment="1" pivotButton="0" quotePrefix="0" xfId="0">
      <alignment wrapText="1"/>
    </xf>
    <xf numFmtId="0" fontId="0" fillId="2" borderId="5" applyAlignment="1" pivotButton="0" quotePrefix="0" xfId="0">
      <alignment horizontal="left" vertical="center" wrapText="1"/>
    </xf>
    <xf numFmtId="0" fontId="2" fillId="2" borderId="5" applyAlignment="1" pivotButton="0" quotePrefix="0" xfId="0">
      <alignment horizontal="left" wrapText="1"/>
    </xf>
    <xf numFmtId="0" fontId="2" fillId="2" borderId="5" applyAlignment="1" pivotButton="0" quotePrefix="0" xfId="13">
      <alignment horizontal="left" vertical="center" wrapText="1"/>
    </xf>
    <xf numFmtId="0" fontId="2" fillId="2" borderId="2" applyAlignment="1" pivotButton="0" quotePrefix="0" xfId="0">
      <alignment horizontal="left" wrapText="1"/>
    </xf>
    <xf numFmtId="2" fontId="28" fillId="0" borderId="0" applyAlignment="1" pivotButton="0" quotePrefix="0" xfId="0">
      <alignment vertical="center" wrapText="1"/>
    </xf>
    <xf numFmtId="0" fontId="0" fillId="0" borderId="2" applyAlignment="1" pivotButton="0" quotePrefix="0" xfId="0">
      <alignment horizontal="left" vertical="center" wrapText="1"/>
    </xf>
    <xf numFmtId="0" fontId="31" fillId="0" borderId="2" applyAlignment="1" pivotButton="0" quotePrefix="0" xfId="0">
      <alignment vertical="center" wrapText="1"/>
    </xf>
    <xf numFmtId="0" fontId="0" fillId="0" borderId="6" applyAlignment="1" pivotButton="0" quotePrefix="0" xfId="0">
      <alignment vertical="center" wrapText="1"/>
    </xf>
    <xf numFmtId="0" fontId="1" fillId="2" borderId="3" applyAlignment="1" pivotButton="0" quotePrefix="0" xfId="11">
      <alignment vertical="center" wrapText="1"/>
    </xf>
    <xf numFmtId="0" fontId="1" fillId="2" borderId="1" applyAlignment="1" pivotButton="0" quotePrefix="0" xfId="11">
      <alignment vertical="center" wrapText="1"/>
    </xf>
    <xf numFmtId="0" fontId="0" fillId="2" borderId="2" applyAlignment="1" pivotButton="0" quotePrefix="0" xfId="0">
      <alignment wrapText="1"/>
    </xf>
    <xf numFmtId="0" fontId="0" fillId="0" borderId="0" applyAlignment="1" pivotButton="0" quotePrefix="0" xfId="0">
      <alignment horizontal="right" wrapText="1"/>
    </xf>
    <xf numFmtId="0" fontId="0" fillId="0" borderId="0" applyAlignment="1" pivotButton="0" quotePrefix="0" xfId="0">
      <alignment horizontal="right" vertical="center" wrapText="1"/>
    </xf>
    <xf numFmtId="0" fontId="1" fillId="2" borderId="2" applyAlignment="1" pivotButton="0" quotePrefix="0" xfId="11">
      <alignment horizontal="left" vertical="center" wrapText="1"/>
    </xf>
    <xf numFmtId="0" fontId="1" fillId="2" borderId="7" applyAlignment="1" pivotButton="0" quotePrefix="0" xfId="11">
      <alignment horizontal="left" vertical="center" wrapText="1"/>
    </xf>
    <xf numFmtId="0" fontId="2" fillId="2" borderId="4" applyAlignment="1" pivotButton="0" quotePrefix="0" xfId="13">
      <alignment horizontal="left" vertical="center" wrapText="1"/>
    </xf>
    <xf numFmtId="0" fontId="0" fillId="2" borderId="2" applyAlignment="1" pivotButton="0" quotePrefix="0" xfId="0">
      <alignment horizontal="left" vertical="center" wrapText="1"/>
    </xf>
    <xf numFmtId="2" fontId="2" fillId="2" borderId="2" applyAlignment="1" pivotButton="0" quotePrefix="0" xfId="12">
      <alignment horizontal="right" vertical="center" wrapText="1"/>
    </xf>
    <xf numFmtId="0" fontId="2" fillId="2" borderId="2" applyAlignment="1" pivotButton="0" quotePrefix="0" xfId="12">
      <alignment horizontal="right" vertical="center" wrapText="1"/>
    </xf>
    <xf numFmtId="0" fontId="0" fillId="0" borderId="0" applyAlignment="1" pivotButton="0" quotePrefix="0" xfId="0">
      <alignment horizontal="left" wrapText="1"/>
    </xf>
    <xf numFmtId="0" fontId="0" fillId="14" borderId="0" applyAlignment="1" pivotButton="0" quotePrefix="0" xfId="0">
      <alignment vertical="center" wrapText="1"/>
    </xf>
    <xf numFmtId="0" fontId="0" fillId="2" borderId="0" applyAlignment="1" pivotButton="0" quotePrefix="0" xfId="0">
      <alignment vertical="center" wrapText="1"/>
    </xf>
    <xf numFmtId="0" fontId="28" fillId="2" borderId="2" applyAlignment="1" pivotButton="0" quotePrefix="0" xfId="0">
      <alignment vertical="center" wrapText="1"/>
    </xf>
    <xf numFmtId="0" fontId="32" fillId="2" borderId="2" applyAlignment="1" pivotButton="0" quotePrefix="0" xfId="13">
      <alignment horizontal="left" vertical="center" wrapText="1"/>
    </xf>
    <xf numFmtId="0" fontId="28" fillId="0" borderId="0" applyAlignment="1" pivotButton="0" quotePrefix="0" xfId="0">
      <alignment vertical="center" wrapText="1"/>
    </xf>
    <xf numFmtId="0" fontId="29" fillId="0" borderId="0" applyAlignment="1" pivotButton="0" quotePrefix="0" xfId="0">
      <alignment horizontal="left" wrapText="1"/>
    </xf>
    <xf numFmtId="0" fontId="29" fillId="0" borderId="0" applyAlignment="1" pivotButton="0" quotePrefix="0" xfId="0">
      <alignment horizontal="left" vertical="center" wrapText="1"/>
    </xf>
    <xf numFmtId="0" fontId="34" fillId="2" borderId="1" applyAlignment="1" pivotButton="0" quotePrefix="0" xfId="11">
      <alignment horizontal="left" vertical="center" wrapText="1"/>
    </xf>
    <xf numFmtId="0" fontId="18" fillId="2" borderId="2" applyAlignment="1" pivotButton="0" quotePrefix="0" xfId="15">
      <alignment horizontal="left" vertical="center" wrapText="1"/>
    </xf>
    <xf numFmtId="0" fontId="35" fillId="2" borderId="2" applyAlignment="1" pivotButton="0" quotePrefix="0" xfId="13">
      <alignment horizontal="left" vertical="center" wrapText="1"/>
    </xf>
    <xf numFmtId="2" fontId="22" fillId="0" borderId="0" applyAlignment="1" pivotButton="0" quotePrefix="0" xfId="0">
      <alignment vertical="center" wrapText="1"/>
    </xf>
    <xf numFmtId="0" fontId="6" fillId="2" borderId="0" applyAlignment="1" pivotButton="0" quotePrefix="0" xfId="0">
      <alignment vertical="center" wrapText="1"/>
    </xf>
    <xf numFmtId="2" fontId="22" fillId="13" borderId="0" applyAlignment="1" pivotButton="0" quotePrefix="0" xfId="0">
      <alignment vertical="center" wrapText="1"/>
    </xf>
    <xf numFmtId="0" fontId="36" fillId="2" borderId="0" applyAlignment="1" pivotButton="0" quotePrefix="0" xfId="0">
      <alignment horizontal="left" vertical="center" wrapText="1"/>
    </xf>
    <xf numFmtId="0" fontId="36" fillId="0" borderId="0" applyAlignment="1" pivotButton="0" quotePrefix="0" xfId="0">
      <alignment vertical="center" wrapText="1"/>
    </xf>
    <xf numFmtId="0" fontId="29" fillId="2" borderId="0" applyAlignment="1" pivotButton="0" quotePrefix="0" xfId="0">
      <alignment horizontal="left" vertical="center" wrapText="1"/>
    </xf>
    <xf numFmtId="0" fontId="37" fillId="0" borderId="0" applyAlignment="1" pivotButton="0" quotePrefix="0" xfId="0">
      <alignment vertical="center" wrapText="1"/>
    </xf>
    <xf numFmtId="2" fontId="36" fillId="0" borderId="0" applyAlignment="1" pivotButton="0" quotePrefix="0" xfId="0">
      <alignment vertical="center" wrapText="1"/>
    </xf>
    <xf numFmtId="0" fontId="29" fillId="2" borderId="2" applyAlignment="1" pivotButton="0" quotePrefix="0" xfId="0">
      <alignment horizontal="left" vertical="center" wrapText="1"/>
    </xf>
    <xf numFmtId="2" fontId="22" fillId="10" borderId="0" applyAlignment="1" pivotButton="0" quotePrefix="0" xfId="0">
      <alignment vertical="center" wrapText="1"/>
    </xf>
    <xf numFmtId="0" fontId="24" fillId="0" borderId="0" applyAlignment="1" pivotButton="0" quotePrefix="0" xfId="0">
      <alignment vertical="center" wrapText="1"/>
    </xf>
    <xf numFmtId="0" fontId="38" fillId="2" borderId="2" applyAlignment="1" pivotButton="0" quotePrefix="0" xfId="13">
      <alignment horizontal="left" vertical="center" wrapText="1"/>
    </xf>
    <xf numFmtId="0" fontId="29" fillId="2" borderId="0" applyAlignment="1" pivotButton="0" quotePrefix="0" xfId="0">
      <alignment horizontal="left" wrapText="1"/>
    </xf>
    <xf numFmtId="0" fontId="0" fillId="11" borderId="8" applyAlignment="1" pivotButton="0" quotePrefix="0" xfId="0">
      <alignment vertical="center" wrapText="1"/>
    </xf>
    <xf numFmtId="0" fontId="0" fillId="0" borderId="4" applyAlignment="1" pivotButton="0" quotePrefix="0" xfId="0">
      <alignment vertical="center" wrapText="1"/>
    </xf>
    <xf numFmtId="0" fontId="38" fillId="2" borderId="2" applyAlignment="1" pivotButton="0" quotePrefix="0" xfId="15">
      <alignment horizontal="left" vertical="center" wrapText="1"/>
    </xf>
    <xf numFmtId="0" fontId="30" fillId="2" borderId="0" applyAlignment="1" pivotButton="0" quotePrefix="0" xfId="0">
      <alignment vertical="center" wrapText="1"/>
    </xf>
    <xf numFmtId="0" fontId="39" fillId="0" borderId="0" applyAlignment="1" pivotButton="0" quotePrefix="0" xfId="0">
      <alignment vertical="center" wrapText="1"/>
    </xf>
    <xf numFmtId="0" fontId="40" fillId="0" borderId="0" applyAlignment="1" pivotButton="0" quotePrefix="0" xfId="0">
      <alignment vertical="top" wrapText="1"/>
    </xf>
    <xf numFmtId="0" fontId="41" fillId="0" borderId="0" applyAlignment="1" pivotButton="0" quotePrefix="0" xfId="0">
      <alignment vertical="top" wrapText="1"/>
    </xf>
    <xf numFmtId="0" fontId="42" fillId="2" borderId="0" applyAlignment="1" pivotButton="0" quotePrefix="0" xfId="0">
      <alignment horizontal="left" vertical="center" wrapText="1"/>
    </xf>
    <xf numFmtId="0" fontId="42" fillId="0" borderId="0" applyAlignment="1" pivotButton="0" quotePrefix="0" xfId="0">
      <alignment vertical="center" wrapText="1"/>
    </xf>
    <xf numFmtId="0" fontId="43" fillId="2" borderId="2" applyAlignment="1" pivotButton="0" quotePrefix="0" xfId="13">
      <alignment horizontal="left" vertical="center" wrapText="1"/>
    </xf>
    <xf numFmtId="0" fontId="20" fillId="0" borderId="0" applyAlignment="1" pivotButton="0" quotePrefix="0" xfId="0">
      <alignment wrapText="1"/>
    </xf>
    <xf numFmtId="0" fontId="2" fillId="0" borderId="8" applyAlignment="1" pivotButton="0" quotePrefix="0" xfId="0">
      <alignment horizontal="left" vertical="center" wrapText="1"/>
    </xf>
    <xf numFmtId="0" fontId="2" fillId="0" borderId="8" applyAlignment="1" pivotButton="0" quotePrefix="0" xfId="0">
      <alignment vertical="center" wrapText="1"/>
    </xf>
    <xf numFmtId="0" fontId="0" fillId="0" borderId="8" applyAlignment="1" pivotButton="0" quotePrefix="0" xfId="0">
      <alignment wrapText="1"/>
    </xf>
    <xf numFmtId="2" fontId="0" fillId="0" borderId="8" applyAlignment="1" pivotButton="0" quotePrefix="0" xfId="0">
      <alignment wrapText="1"/>
    </xf>
    <xf numFmtId="0" fontId="2" fillId="2" borderId="9" applyAlignment="1" pivotButton="0" quotePrefix="0" xfId="15">
      <alignment horizontal="left" vertical="center" wrapText="1"/>
    </xf>
    <xf numFmtId="0" fontId="2" fillId="2" borderId="9" applyAlignment="1" pivotButton="0" quotePrefix="0" xfId="13">
      <alignment horizontal="left" vertical="center" wrapText="1"/>
    </xf>
    <xf numFmtId="2" fontId="22" fillId="10" borderId="0" applyAlignment="1" pivotButton="0" quotePrefix="0" xfId="0">
      <alignment wrapText="1"/>
    </xf>
    <xf numFmtId="0" fontId="2" fillId="0" borderId="2" applyAlignment="1" pivotButton="0" quotePrefix="0" xfId="0">
      <alignment horizontal="left" vertical="top" wrapText="1"/>
    </xf>
    <xf numFmtId="0" fontId="2" fillId="10" borderId="0" applyAlignment="1" pivotButton="0" quotePrefix="0" xfId="0">
      <alignment horizontal="left" vertical="center" wrapText="1"/>
    </xf>
    <xf numFmtId="0" fontId="2" fillId="10" borderId="0" applyAlignment="1" pivotButton="0" quotePrefix="0" xfId="0">
      <alignment wrapText="1"/>
    </xf>
    <xf numFmtId="0" fontId="31" fillId="0" borderId="2" applyAlignment="1" pivotButton="0" quotePrefix="0" xfId="0">
      <alignment wrapText="1"/>
    </xf>
    <xf numFmtId="0" fontId="29" fillId="10" borderId="0" applyAlignment="1" pivotButton="0" quotePrefix="0" xfId="0">
      <alignment wrapText="1"/>
    </xf>
    <xf numFmtId="0" fontId="2" fillId="2" borderId="2" applyAlignment="1" pivotButton="0" quotePrefix="0" xfId="15">
      <alignment horizontal="left" vertical="center"/>
    </xf>
    <xf numFmtId="0" fontId="35" fillId="2" borderId="2" applyAlignment="1" pivotButton="0" quotePrefix="0" xfId="15">
      <alignment horizontal="left" vertical="center"/>
    </xf>
    <xf numFmtId="0" fontId="18" fillId="2" borderId="2" applyAlignment="1" pivotButton="0" quotePrefix="0" xfId="13">
      <alignment horizontal="left" vertical="center"/>
    </xf>
    <xf numFmtId="2" fontId="44" fillId="0" borderId="0" applyAlignment="1" pivotButton="0" quotePrefix="0" xfId="0">
      <alignment vertical="center" wrapText="1"/>
    </xf>
    <xf numFmtId="0" fontId="13" fillId="0" borderId="6" applyAlignment="1" pivotButton="0" quotePrefix="0" xfId="0">
      <alignment vertical="center" wrapText="1"/>
    </xf>
    <xf numFmtId="0" fontId="0" fillId="8" borderId="2" applyAlignment="1" pivotButton="0" quotePrefix="0" xfId="0">
      <alignment vertical="center" wrapText="1"/>
    </xf>
    <xf numFmtId="0" fontId="31" fillId="0" borderId="2" applyAlignment="1" pivotButton="0" quotePrefix="0" xfId="0">
      <alignment vertical="top" wrapText="1"/>
    </xf>
    <xf numFmtId="0" fontId="0" fillId="0" borderId="2" applyAlignment="1" pivotButton="0" quotePrefix="0" xfId="0">
      <alignment horizontal="left" wrapText="1"/>
    </xf>
    <xf numFmtId="0" fontId="2" fillId="2" borderId="2" applyAlignment="1" pivotButton="0" quotePrefix="0" xfId="13">
      <alignment horizontal="center" vertical="center" wrapText="1"/>
    </xf>
    <xf numFmtId="0" fontId="18" fillId="2" borderId="2" applyAlignment="1" pivotButton="0" quotePrefix="0" xfId="15">
      <alignment vertical="center" wrapText="1"/>
    </xf>
    <xf numFmtId="0" fontId="18" fillId="2" borderId="2" applyAlignment="1" pivotButton="0" quotePrefix="0" xfId="13">
      <alignment vertical="center" wrapText="1"/>
    </xf>
    <xf numFmtId="0" fontId="18" fillId="2" borderId="2" applyAlignment="1" pivotButton="0" quotePrefix="0" xfId="15">
      <alignment horizontal="left" vertical="center"/>
    </xf>
    <xf numFmtId="0" fontId="2" fillId="2" borderId="2" applyAlignment="1" pivotButton="0" quotePrefix="0" xfId="15">
      <alignment vertical="center" wrapText="1"/>
    </xf>
    <xf numFmtId="0" fontId="2" fillId="2" borderId="2" applyAlignment="1" pivotButton="0" quotePrefix="0" xfId="13">
      <alignment vertical="center" wrapText="1"/>
    </xf>
    <xf numFmtId="2" fontId="0" fillId="0" borderId="0" applyAlignment="1" pivotButton="0" quotePrefix="0" xfId="0">
      <alignment horizontal="right" vertical="center" wrapText="1"/>
    </xf>
    <xf numFmtId="0" fontId="46" fillId="0" borderId="0" pivotButton="0" quotePrefix="0" xfId="0"/>
    <xf numFmtId="0" fontId="45" fillId="2" borderId="1" applyAlignment="1" pivotButton="0" quotePrefix="0" xfId="11">
      <alignment horizontal="left" wrapText="1"/>
    </xf>
    <xf numFmtId="0" fontId="45" fillId="2" borderId="3" applyAlignment="1" pivotButton="0" quotePrefix="0" xfId="11">
      <alignment horizontal="left" wrapText="1"/>
    </xf>
    <xf numFmtId="0" fontId="45" fillId="2" borderId="12" applyAlignment="1" pivotButton="0" quotePrefix="0" xfId="11">
      <alignment horizontal="left" wrapText="1"/>
    </xf>
    <xf numFmtId="0" fontId="46" fillId="0" borderId="0" applyAlignment="1" pivotButton="0" quotePrefix="0" xfId="11">
      <alignment horizontal="left" wrapText="1"/>
    </xf>
    <xf numFmtId="0" fontId="45" fillId="0" borderId="0" applyAlignment="1" pivotButton="0" quotePrefix="0" xfId="11">
      <alignment horizontal="left" wrapText="1"/>
    </xf>
    <xf numFmtId="0" fontId="45" fillId="2" borderId="7" applyAlignment="1" pivotButton="0" quotePrefix="0" xfId="11">
      <alignment horizontal="left" wrapText="1"/>
    </xf>
    <xf numFmtId="0" fontId="2" fillId="4" borderId="0" pivotButton="0" quotePrefix="0" xfId="0"/>
    <xf numFmtId="0" fontId="2" fillId="4" borderId="2" applyAlignment="1" pivotButton="0" quotePrefix="0" xfId="0">
      <alignment horizontal="center" vertical="center" wrapText="1"/>
    </xf>
    <xf numFmtId="0" fontId="2" fillId="4" borderId="2" applyAlignment="1" pivotButton="0" quotePrefix="0" xfId="0">
      <alignment horizontal="left" vertical="center" wrapText="1"/>
    </xf>
    <xf numFmtId="0" fontId="2" fillId="4" borderId="0" applyAlignment="1" pivotButton="0" quotePrefix="0" xfId="0">
      <alignment vertical="center" wrapText="1"/>
    </xf>
    <xf numFmtId="0" fontId="2" fillId="0" borderId="0" pivotButton="0" quotePrefix="0" xfId="0"/>
    <xf numFmtId="0" fontId="2" fillId="2" borderId="2" applyAlignment="1" pivotButton="0" quotePrefix="0" xfId="0">
      <alignment horizontal="center" vertical="center" wrapText="1"/>
    </xf>
    <xf numFmtId="0" fontId="48" fillId="2" borderId="2" applyAlignment="1" pivotButton="0" quotePrefix="0" xfId="0">
      <alignment horizontal="center" vertical="center" wrapText="1"/>
    </xf>
    <xf numFmtId="0" fontId="48" fillId="2" borderId="2" applyAlignment="1" pivotButton="0" quotePrefix="0" xfId="0">
      <alignment horizontal="left" vertical="center" wrapText="1"/>
    </xf>
    <xf numFmtId="0" fontId="2" fillId="2" borderId="0" pivotButton="0" quotePrefix="0" xfId="0"/>
    <xf numFmtId="0" fontId="2" fillId="2" borderId="0" applyAlignment="1" pivotButton="0" quotePrefix="0" xfId="0">
      <alignment vertical="center" wrapText="1"/>
    </xf>
    <xf numFmtId="0" fontId="2" fillId="0" borderId="0" applyAlignment="1" pivotButton="0" quotePrefix="0" xfId="0">
      <alignment horizontal="left" vertical="top" wrapText="1"/>
    </xf>
    <xf numFmtId="0" fontId="48" fillId="2" borderId="2" applyAlignment="1" pivotButton="0" quotePrefix="0" xfId="0">
      <alignment horizontal="center" vertical="top" wrapText="1"/>
    </xf>
    <xf numFmtId="0" fontId="2" fillId="0" borderId="0" applyAlignment="1" pivotButton="0" quotePrefix="0" xfId="0">
      <alignment wrapText="1"/>
    </xf>
    <xf numFmtId="0" fontId="2" fillId="0" borderId="2" pivotButton="0" quotePrefix="0" xfId="0"/>
    <xf numFmtId="0" fontId="0" fillId="15" borderId="2" pivotButton="0" quotePrefix="0" xfId="0"/>
    <xf numFmtId="164" fontId="2" fillId="2" borderId="2" applyAlignment="1" pivotButton="0" quotePrefix="0" xfId="12">
      <alignment horizontal="right" vertical="center" wrapText="1"/>
    </xf>
    <xf numFmtId="164" fontId="2" fillId="3" borderId="2" applyAlignment="1" pivotButton="0" quotePrefix="0" xfId="14">
      <alignment horizontal="right" vertical="center" wrapText="1"/>
    </xf>
    <xf numFmtId="164" fontId="17" fillId="2" borderId="2" applyAlignment="1" pivotButton="0" quotePrefix="0" xfId="12">
      <alignment horizontal="right" vertical="center" wrapText="1"/>
    </xf>
    <xf numFmtId="164" fontId="17" fillId="3" borderId="2" applyAlignment="1" pivotButton="0" quotePrefix="0" xfId="14">
      <alignment horizontal="right" vertical="center" wrapText="1"/>
    </xf>
    <xf numFmtId="164" fontId="2" fillId="2" borderId="2" applyAlignment="1" pivotButton="0" quotePrefix="0" xfId="12">
      <alignment horizontal="right" wrapText="1"/>
    </xf>
    <xf numFmtId="164" fontId="2" fillId="3" borderId="2" applyAlignment="1" pivotButton="0" quotePrefix="0" xfId="14">
      <alignment horizontal="right" wrapText="1"/>
    </xf>
    <xf numFmtId="164" fontId="2" fillId="13" borderId="2" applyAlignment="1" pivotButton="0" quotePrefix="0" xfId="14">
      <alignment horizontal="right" vertical="center" wrapText="1"/>
    </xf>
    <xf numFmtId="164" fontId="2" fillId="2" borderId="2" applyAlignment="1" pivotButton="0" quotePrefix="0" xfId="12">
      <alignment horizontal="right" vertical="top" wrapText="1"/>
    </xf>
    <xf numFmtId="164" fontId="2" fillId="3" borderId="2" applyAlignment="1" pivotButton="0" quotePrefix="0" xfId="14">
      <alignment horizontal="right" vertical="top" wrapText="1"/>
    </xf>
    <xf numFmtId="165" fontId="2" fillId="2" borderId="2" applyAlignment="1" pivotButton="0" quotePrefix="0" xfId="12">
      <alignment horizontal="right" vertical="center" wrapText="1"/>
    </xf>
    <xf numFmtId="165" fontId="2" fillId="3" borderId="2" applyAlignment="1" pivotButton="0" quotePrefix="0" xfId="14">
      <alignment horizontal="right" vertical="center" wrapText="1"/>
    </xf>
    <xf numFmtId="164" fontId="2" fillId="2" borderId="5" applyAlignment="1" pivotButton="0" quotePrefix="0" xfId="12">
      <alignment horizontal="right" vertical="center" wrapText="1"/>
    </xf>
    <xf numFmtId="164" fontId="2" fillId="3" borderId="5" applyAlignment="1" pivotButton="0" quotePrefix="0" xfId="14">
      <alignment horizontal="right" vertical="center" wrapText="1"/>
    </xf>
    <xf numFmtId="164" fontId="2" fillId="3" borderId="6" applyAlignment="1" pivotButton="0" quotePrefix="0" xfId="14">
      <alignment horizontal="right" vertical="center" wrapText="1"/>
    </xf>
    <xf numFmtId="164" fontId="0" fillId="0" borderId="0" applyAlignment="1" pivotButton="0" quotePrefix="0" xfId="0">
      <alignment vertical="center" wrapText="1"/>
    </xf>
    <xf numFmtId="164" fontId="32" fillId="2" borderId="2" applyAlignment="1" pivotButton="0" quotePrefix="0" xfId="12">
      <alignment horizontal="right" vertical="center" wrapText="1"/>
    </xf>
    <xf numFmtId="164" fontId="32" fillId="3" borderId="2" applyAlignment="1" pivotButton="0" quotePrefix="0" xfId="14">
      <alignment horizontal="right" vertical="center" wrapText="1"/>
    </xf>
    <xf numFmtId="164" fontId="35" fillId="2" borderId="2" applyAlignment="1" pivotButton="0" quotePrefix="0" xfId="12">
      <alignment horizontal="right" vertical="center" wrapText="1"/>
    </xf>
    <xf numFmtId="164" fontId="35" fillId="3" borderId="2" applyAlignment="1" pivotButton="0" quotePrefix="0" xfId="14">
      <alignment horizontal="right" vertical="center" wrapText="1"/>
    </xf>
    <xf numFmtId="164" fontId="2" fillId="3" borderId="9" applyAlignment="1" pivotButton="0" quotePrefix="0" xfId="14">
      <alignment horizontal="right" vertical="center" wrapText="1"/>
    </xf>
    <xf numFmtId="164" fontId="18" fillId="2" borderId="2" applyAlignment="1" pivotButton="0" quotePrefix="0" xfId="12">
      <alignment horizontal="right" vertical="center" wrapText="1"/>
    </xf>
    <xf numFmtId="164" fontId="18" fillId="3" borderId="9" applyAlignment="1" pivotButton="0" quotePrefix="0" xfId="14">
      <alignment horizontal="right" vertical="center" wrapText="1"/>
    </xf>
    <xf numFmtId="164" fontId="2" fillId="2" borderId="2" applyAlignment="1" pivotButton="0" quotePrefix="0" xfId="14">
      <alignment horizontal="right" vertical="center" wrapText="1"/>
    </xf>
    <xf numFmtId="164" fontId="2" fillId="2" borderId="9" applyAlignment="1" pivotButton="0" quotePrefix="0" xfId="12">
      <alignment horizontal="right" vertical="center" wrapText="1"/>
    </xf>
    <xf numFmtId="164" fontId="18" fillId="3" borderId="2" applyAlignment="1" pivotButton="0" quotePrefix="0" xfId="14">
      <alignment horizontal="right" vertical="center" wrapText="1"/>
    </xf>
    <xf numFmtId="164" fontId="18" fillId="2" borderId="2" applyAlignment="1" pivotButton="0" quotePrefix="0" xfId="12">
      <alignment vertical="center" wrapText="1"/>
    </xf>
    <xf numFmtId="164" fontId="18" fillId="3" borderId="2" applyAlignment="1" pivotButton="0" quotePrefix="0" xfId="14">
      <alignment vertical="center" wrapText="1"/>
    </xf>
    <xf numFmtId="164" fontId="2" fillId="2" borderId="2" applyAlignment="1" pivotButton="0" quotePrefix="0" xfId="12">
      <alignment vertical="center" wrapText="1"/>
    </xf>
    <xf numFmtId="164" fontId="2" fillId="3" borderId="2" applyAlignment="1" pivotButton="0" quotePrefix="0" xfId="14">
      <alignment vertical="center" wrapText="1"/>
    </xf>
    <xf numFmtId="164" fontId="2" fillId="2" borderId="2" applyAlignment="1" pivotButton="0" quotePrefix="0" xfId="12">
      <alignment horizontal="left" vertical="center" wrapText="1"/>
    </xf>
    <xf numFmtId="164" fontId="2" fillId="3" borderId="2" applyAlignment="1" pivotButton="0" quotePrefix="0" xfId="14">
      <alignment horizontal="left" vertical="center" wrapText="1"/>
    </xf>
    <xf numFmtId="166" fontId="2" fillId="4" borderId="2" applyAlignment="1" pivotButton="0" quotePrefix="0" xfId="0">
      <alignment horizontal="right" vertical="center" wrapText="1"/>
    </xf>
    <xf numFmtId="166" fontId="47" fillId="4" borderId="0" applyAlignment="1" pivotButton="0" quotePrefix="0" xfId="0">
      <alignment horizontal="right" vertical="center" wrapText="1"/>
    </xf>
    <xf numFmtId="166" fontId="2" fillId="4" borderId="0" applyAlignment="1" pivotButton="0" quotePrefix="0" xfId="0">
      <alignment horizontal="right" vertical="center" wrapText="1"/>
    </xf>
    <xf numFmtId="166" fontId="2" fillId="2" borderId="2" applyAlignment="1" pivotButton="0" quotePrefix="0" xfId="0">
      <alignment horizontal="right" vertical="center" wrapText="1"/>
    </xf>
    <xf numFmtId="166" fontId="47" fillId="0" borderId="0" applyAlignment="1" pivotButton="0" quotePrefix="0" xfId="0">
      <alignment horizontal="right" vertical="center" wrapText="1"/>
    </xf>
    <xf numFmtId="166" fontId="2" fillId="0" borderId="0" applyAlignment="1" pivotButton="0" quotePrefix="0" xfId="0">
      <alignment horizontal="right" vertical="center" wrapText="1"/>
    </xf>
    <xf numFmtId="166" fontId="48" fillId="2" borderId="2" applyAlignment="1" pivotButton="0" quotePrefix="0" xfId="0">
      <alignment horizontal="right" vertical="center" wrapText="1"/>
    </xf>
    <xf numFmtId="166" fontId="49" fillId="0" borderId="0" applyAlignment="1" pivotButton="0" quotePrefix="0" xfId="0">
      <alignment horizontal="right" vertical="center" wrapText="1"/>
    </xf>
    <xf numFmtId="166" fontId="48" fillId="0" borderId="0" applyAlignment="1" pivotButton="0" quotePrefix="0" xfId="0">
      <alignment horizontal="right" vertical="center" wrapText="1"/>
    </xf>
    <xf numFmtId="167" fontId="47" fillId="4" borderId="0" applyAlignment="1" pivotButton="0" quotePrefix="0" xfId="0">
      <alignment horizontal="right" vertical="center" wrapText="1"/>
    </xf>
    <xf numFmtId="166" fontId="49" fillId="2" borderId="0" applyAlignment="1" pivotButton="0" quotePrefix="0" xfId="0">
      <alignment horizontal="right" vertical="center" wrapText="1"/>
    </xf>
    <xf numFmtId="166" fontId="48" fillId="2" borderId="0" applyAlignment="1" pivotButton="0" quotePrefix="0" xfId="0">
      <alignment horizontal="right" vertical="center" wrapText="1"/>
    </xf>
    <xf numFmtId="0" fontId="13" fillId="0" borderId="0" applyAlignment="1" pivotButton="0" quotePrefix="0" xfId="0">
      <alignment horizontal="center" vertical="center" wrapText="1"/>
    </xf>
    <xf numFmtId="0" fontId="13" fillId="0" borderId="0" applyAlignment="1" pivotButton="0" quotePrefix="0" xfId="0">
      <alignment vertical="center" wrapText="1"/>
    </xf>
    <xf numFmtId="0" fontId="0" fillId="0" borderId="0" applyAlignment="1" pivotButton="0" quotePrefix="0" xfId="0">
      <alignment vertical="center" wrapText="1"/>
    </xf>
    <xf numFmtId="0" fontId="0" fillId="0" borderId="0" applyAlignment="1" pivotButton="0" quotePrefix="0" xfId="0">
      <alignment vertical="top" wrapText="1"/>
    </xf>
    <xf numFmtId="0" fontId="29" fillId="0" borderId="0" applyAlignment="1" pivotButton="0" quotePrefix="0" xfId="0">
      <alignment vertical="center" wrapText="1"/>
    </xf>
    <xf numFmtId="0" fontId="0" fillId="0" borderId="0" applyAlignment="1" pivotButton="0" quotePrefix="0" xfId="0">
      <alignment wrapText="1"/>
    </xf>
    <xf numFmtId="0" fontId="22" fillId="0" borderId="0" applyAlignment="1" pivotButton="0" quotePrefix="0" xfId="0">
      <alignment vertical="center" wrapText="1"/>
    </xf>
    <xf numFmtId="0" fontId="13" fillId="0" borderId="0" applyAlignment="1" pivotButton="0" quotePrefix="0" xfId="0">
      <alignment horizontal="center" vertical="center" wrapText="1"/>
    </xf>
    <xf numFmtId="0" fontId="13" fillId="0" borderId="0" applyAlignment="1" pivotButton="0" quotePrefix="0" xfId="0">
      <alignment vertical="center" wrapText="1"/>
    </xf>
    <xf numFmtId="0" fontId="24" fillId="10" borderId="0" applyAlignment="1" pivotButton="0" quotePrefix="0" xfId="0">
      <alignment horizontal="center" vertical="center" wrapText="1"/>
    </xf>
    <xf numFmtId="0" fontId="0" fillId="0" borderId="0" applyAlignment="1" pivotButton="0" quotePrefix="0" xfId="0">
      <alignment vertical="center" wrapText="1"/>
    </xf>
    <xf numFmtId="0" fontId="0" fillId="4" borderId="0" applyAlignment="1" pivotButton="0" quotePrefix="0" xfId="0">
      <alignment horizontal="center" vertical="center" wrapText="1"/>
    </xf>
    <xf numFmtId="0" fontId="0" fillId="4" borderId="2" applyAlignment="1" pivotButton="0" quotePrefix="0" xfId="0">
      <alignment horizontal="center" vertical="center" wrapText="1"/>
    </xf>
    <xf numFmtId="0" fontId="0" fillId="0" borderId="13" pivotButton="0" quotePrefix="0" xfId="0"/>
    <xf numFmtId="0" fontId="0" fillId="0" borderId="9" pivotButton="0" quotePrefix="0" xfId="0"/>
    <xf numFmtId="0" fontId="6" fillId="4" borderId="2" applyAlignment="1" pivotButton="0" quotePrefix="0" xfId="0">
      <alignment horizontal="center" vertical="center" wrapText="1"/>
    </xf>
    <xf numFmtId="0" fontId="0" fillId="0" borderId="0" applyAlignment="1" pivotButton="0" quotePrefix="0" xfId="0">
      <alignment horizontal="center" vertical="center" wrapText="1"/>
    </xf>
    <xf numFmtId="0" fontId="0" fillId="0" borderId="0" applyAlignment="1" pivotButton="0" quotePrefix="0" xfId="0">
      <alignment vertical="top" wrapText="1"/>
    </xf>
    <xf numFmtId="0" fontId="0" fillId="0" borderId="0" applyAlignment="1" pivotButton="0" quotePrefix="0" xfId="0">
      <alignment horizontal="center" vertical="top" wrapText="1"/>
    </xf>
    <xf numFmtId="0" fontId="0" fillId="3" borderId="0" applyAlignment="1" pivotButton="0" quotePrefix="0" xfId="0">
      <alignment horizontal="center" vertical="center" wrapText="1"/>
    </xf>
    <xf numFmtId="0" fontId="0" fillId="2" borderId="0" applyAlignment="1" pivotButton="0" quotePrefix="0" xfId="0">
      <alignment horizontal="center" vertical="center" wrapText="1"/>
    </xf>
    <xf numFmtId="0" fontId="30" fillId="0" borderId="2" applyAlignment="1" pivotButton="0" quotePrefix="0" xfId="0">
      <alignment horizontal="center" vertical="center" wrapText="1"/>
    </xf>
    <xf numFmtId="0" fontId="0" fillId="13" borderId="0" applyAlignment="1" pivotButton="0" quotePrefix="0" xfId="0">
      <alignment horizontal="center" vertical="center" wrapText="1"/>
    </xf>
    <xf numFmtId="0" fontId="0" fillId="4" borderId="10" applyAlignment="1" pivotButton="0" quotePrefix="0" xfId="0">
      <alignment horizontal="center" vertical="center" wrapText="1"/>
    </xf>
    <xf numFmtId="0" fontId="29" fillId="0" borderId="0" applyAlignment="1" pivotButton="0" quotePrefix="0" xfId="0">
      <alignment vertical="center" wrapText="1"/>
    </xf>
    <xf numFmtId="0" fontId="36" fillId="3" borderId="0" applyAlignment="1" pivotButton="0" quotePrefix="0" xfId="0">
      <alignment horizontal="center" vertical="center" wrapText="1"/>
    </xf>
    <xf numFmtId="0" fontId="0" fillId="2" borderId="10" applyAlignment="1" pivotButton="0" quotePrefix="0" xfId="0">
      <alignment horizontal="center" vertical="center" wrapText="1"/>
    </xf>
    <xf numFmtId="0" fontId="0" fillId="0" borderId="0" applyAlignment="1" pivotButton="0" quotePrefix="0" xfId="0">
      <alignment wrapText="1"/>
    </xf>
    <xf numFmtId="0" fontId="0" fillId="11" borderId="6" applyAlignment="1" pivotButton="0" quotePrefix="0" xfId="0">
      <alignment horizontal="center" vertical="center" wrapText="1"/>
    </xf>
    <xf numFmtId="0" fontId="0" fillId="0" borderId="8" pivotButton="0" quotePrefix="0" xfId="0"/>
    <xf numFmtId="0" fontId="29" fillId="0" borderId="0" applyAlignment="1" pivotButton="0" quotePrefix="0" xfId="0">
      <alignment horizontal="center" vertical="center" wrapText="1"/>
    </xf>
    <xf numFmtId="0" fontId="24" fillId="4" borderId="0" applyAlignment="1" pivotButton="0" quotePrefix="0" xfId="0">
      <alignment horizontal="center" vertical="center" wrapText="1"/>
    </xf>
    <xf numFmtId="0" fontId="22" fillId="0" borderId="0" applyAlignment="1" pivotButton="0" quotePrefix="0" xfId="0">
      <alignment vertical="center" wrapText="1"/>
    </xf>
    <xf numFmtId="0" fontId="0" fillId="0" borderId="11" applyAlignment="1" pivotButton="0" quotePrefix="0" xfId="0">
      <alignment horizontal="center" vertical="top" wrapText="1"/>
    </xf>
    <xf numFmtId="0" fontId="33" fillId="0" borderId="0" applyAlignment="1" pivotButton="0" quotePrefix="0" xfId="0">
      <alignment horizontal="center" vertical="center" wrapText="1"/>
    </xf>
    <xf numFmtId="0" fontId="51" fillId="0" borderId="0" pivotButton="0" quotePrefix="0" xfId="0"/>
    <xf numFmtId="0" fontId="52" fillId="16" borderId="14" applyAlignment="1" pivotButton="0" quotePrefix="0" xfId="0">
      <alignment horizontal="center" wrapText="1"/>
    </xf>
    <xf numFmtId="0" fontId="52" fillId="16" borderId="14" pivotButton="0" quotePrefix="0" xfId="0"/>
    <xf numFmtId="0" fontId="53" fillId="17" borderId="14" pivotButton="0" quotePrefix="0" xfId="0"/>
    <xf numFmtId="0" fontId="0" fillId="0" borderId="14" pivotButton="0" quotePrefix="0" xfId="0"/>
    <xf numFmtId="4" fontId="0" fillId="0" borderId="14" pivotButton="0" quotePrefix="0" xfId="0"/>
  </cellXfs>
  <cellStyles count="17">
    <cellStyle name="Normal" xfId="0" builtinId="0"/>
    <cellStyle name="AntetTabel" xfId="1"/>
    <cellStyle name="ArticolNC_Editab_Number" xfId="2"/>
    <cellStyle name="Liste_Editab_Number" xfId="3"/>
    <cellStyle name="Manopera_Editab_Number" xfId="4"/>
    <cellStyle name="Material_Editab_Number" xfId="5"/>
    <cellStyle name="Neformatat" xfId="6"/>
    <cellStyle name="Normal 2" xfId="7"/>
    <cellStyle name="Recapitulatie_Editab_Number" xfId="8"/>
    <cellStyle name="Sporuri_Editab_Number" xfId="9"/>
    <cellStyle name="stil_0" xfId="10"/>
    <cellStyle name="stil_2" xfId="11"/>
    <cellStyle name="stil_5" xfId="12"/>
    <cellStyle name="stil_6" xfId="13"/>
    <cellStyle name="Transport_Editab_Number" xfId="14"/>
    <cellStyle name="TVA_Editab_Number" xfId="15"/>
    <cellStyle name="Utilaj_Editab_Number" xfId="16"/>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styles" Target="styles.xml" Id="rId38"/><Relationship Type="http://schemas.openxmlformats.org/officeDocument/2006/relationships/theme" Target="theme/theme1.xml" Id="rId39"/></Relationships>
</file>

<file path=xl/comments/comment1.xml><?xml version="1.0" encoding="utf-8"?>
<comments xmlns="http://schemas.openxmlformats.org/spreadsheetml/2006/main">
  <authors>
    <author>Unknown Author</author>
  </authors>
  <commentList>
    <comment ref="G14" authorId="0" shapeId="0">
      <text>
        <t>Admin:
Balcoane iesite in consola??</t>
      </text>
    </comment>
  </commentList>
</comments>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9.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tabColor rgb="FFFFFF00"/>
    <outlinePr summaryBelow="1" summaryRight="1"/>
    <pageSetUpPr/>
  </sheetPr>
  <dimension ref="A2:G103"/>
  <sheetViews>
    <sheetView zoomScaleNormal="100" workbookViewId="0">
      <selection activeCell="A1" sqref="A1"/>
    </sheetView>
  </sheetViews>
  <sheetFormatPr baseColWidth="8" defaultColWidth="8.88671875" defaultRowHeight="14.4"/>
  <cols>
    <col width="8.88671875" customWidth="1" style="260" min="1" max="1"/>
    <col width="24" customWidth="1" style="261" min="2" max="2"/>
    <col width="78.33203125" customWidth="1" style="261" min="3" max="3"/>
    <col width="8.88671875" customWidth="1" style="261" min="4" max="5"/>
    <col width="56.33203125" customWidth="1" style="261" min="6" max="6"/>
    <col width="8.88671875" customWidth="1" style="261" min="7" max="257"/>
  </cols>
  <sheetData>
    <row r="2" ht="11.25" customHeight="1" s="23">
      <c r="B2" s="261" t="inlineStr">
        <is>
          <t xml:space="preserve">Norme </t>
        </is>
      </c>
    </row>
    <row r="4" ht="37.2" customHeight="1" s="23">
      <c r="A4" s="1" t="n">
        <v>1</v>
      </c>
      <c r="B4" s="2">
        <f>"+CK01A2 [10]"</f>
        <v/>
      </c>
      <c r="C4" s="2">
        <f>"Ferestre performante energetic din PVC cu geam termoizolant cu coeficient de transfer termic de max. 1,1 W/m2K, deschideri oscilobatante, dotate cu fante de circulatie controlata a aerului"</f>
        <v/>
      </c>
      <c r="D4" s="2">
        <f>"mp"</f>
        <v/>
      </c>
    </row>
    <row r="5" ht="37.2" customHeight="1" s="23">
      <c r="A5" s="3" t="inlineStr">
        <is>
          <t>1.L</t>
        </is>
      </c>
      <c r="B5" s="4">
        <f>"   0002447"</f>
        <v/>
      </c>
      <c r="C5" s="4">
        <f>"Fereastra performanta energetic din PVC cu geam termoizolant cu coeficient de transfer termic maxim 1,1 W/m2K, deschideri oscilobatante, dotata cu fante pentru aerisirea controlata a spatiilor"</f>
        <v/>
      </c>
      <c r="D5" s="4">
        <f>"mp"</f>
        <v/>
      </c>
    </row>
    <row r="6" ht="30.6" customHeight="1" s="23">
      <c r="A6" s="3" t="n">
        <v>2</v>
      </c>
      <c r="B6" s="2">
        <f>"+CK02A1 [18]"</f>
        <v/>
      </c>
      <c r="C6" s="2">
        <f>"Usi performante energetic din PVC cu geam termoizolant cu coeficient de transfer termic de max. 1,1 W/m2K, dotate cu fante de circulatie controlata a aerului"</f>
        <v/>
      </c>
      <c r="D6" s="2">
        <f>"mp"</f>
        <v/>
      </c>
    </row>
    <row r="7" ht="27.6" customHeight="1" s="23">
      <c r="A7" s="3" t="inlineStr">
        <is>
          <t>2.L</t>
        </is>
      </c>
      <c r="B7" s="4">
        <f>"   0002488"</f>
        <v/>
      </c>
      <c r="C7" s="4">
        <f>"Usa performanta energetic din PVC cu geam termoizolant cu coeficient de transfer termic maxim 1,1 W/m2K, dotata cu fante pentru aerisirea controlata a spatiilor"</f>
        <v/>
      </c>
      <c r="D7" s="4">
        <f>"mp"</f>
        <v/>
      </c>
    </row>
    <row r="8" ht="37.2" customHeight="1" s="23">
      <c r="A8" s="3" t="n">
        <v>3</v>
      </c>
      <c r="B8" s="2">
        <f>"+CK01A2 [11]"</f>
        <v/>
      </c>
      <c r="C8" s="2">
        <f>"Ferestre performante energetic din aluminiu cu geam termoizolant cu coeficient de transfer termic de max. 1,1 W/m2K, deschideri oscilobatante, dotate cu fante de circulatie controlata a aerului"</f>
        <v/>
      </c>
      <c r="D8" s="2">
        <f>"mp"</f>
        <v/>
      </c>
    </row>
    <row r="9" ht="37.2" customHeight="1" s="23">
      <c r="A9" s="3" t="inlineStr">
        <is>
          <t>3.L</t>
        </is>
      </c>
      <c r="B9" s="4">
        <f>"   0002448"</f>
        <v/>
      </c>
      <c r="C9" s="4">
        <f>"Fereastra performanta energetic din aluminiu cu geam termoizolant cu coeficient de transfer termic maxim 1,1 W/m2K, deschideri oscilobatante, dotata cu fante pentru aerisirea controlata a spatiilor"</f>
        <v/>
      </c>
      <c r="D9" s="4">
        <f>"mp"</f>
        <v/>
      </c>
    </row>
    <row r="10" ht="27.6" customHeight="1" s="23">
      <c r="A10" s="3" t="n">
        <v>4</v>
      </c>
      <c r="B10" s="2">
        <f>"+CK02A1 [19]"</f>
        <v/>
      </c>
      <c r="C10" s="2">
        <f>"Usi performante energetic din aluminiu cu geam termoizolant cu coeficient de transfer termic de max. 1,1 W/m2K, dotate cu fante de circulatie controlata a aerului"</f>
        <v/>
      </c>
      <c r="D10" s="2">
        <f>"mp"</f>
        <v/>
      </c>
    </row>
    <row r="11" ht="30.6" customHeight="1" s="23">
      <c r="A11" s="3" t="inlineStr">
        <is>
          <t>4.l</t>
        </is>
      </c>
      <c r="B11" s="4">
        <f>"   0002489"</f>
        <v/>
      </c>
      <c r="C11" s="4">
        <f>"Usa performanta energetic din aluminiu cu geam termoizolant cu coeficient de transfer termic maxim 1,1 W/m2K, dotata cu fante pentru aerisirea controlata a spatiilor"</f>
        <v/>
      </c>
      <c r="D11" s="4">
        <f>"mp"</f>
        <v/>
      </c>
    </row>
    <row r="12" ht="33.75" customHeight="1" s="23">
      <c r="A12" s="3" t="n">
        <v>5</v>
      </c>
      <c r="B12" s="5" t="inlineStr">
        <is>
          <t>IZF35D+[ 20 ]</t>
        </is>
      </c>
      <c r="C12" s="5" t="inlineStr">
        <is>
          <t>Sistem termoizolant pentru elemente de fatadarealizat cu polistiren expandat de 15 cm grosime (agrementat in Romania, cu o durabilitate garantata de min 10 ani) pentru zona de camp, strat finisaj exterior realizat cu tencuiala decorativa.</t>
        </is>
      </c>
      <c r="D12" s="5" t="inlineStr">
        <is>
          <t>mp</t>
        </is>
      </c>
    </row>
    <row r="13" ht="33.75" customHeight="1" s="23">
      <c r="A13" s="3" t="n">
        <v>6</v>
      </c>
      <c r="B13" s="5" t="inlineStr">
        <is>
          <t>IZF35D+[ 57 ]</t>
        </is>
      </c>
      <c r="C13" s="5" t="inlineStr">
        <is>
          <t>Sistem termoizolant pentru elemente de fatada realizat cu vata minerala bazaltica de 15 cm grosime (agrementat in Romania, cu o durabilitate garantata de min 10 ani), strat finisaj exterior realizat cu tencuiala decorativa.</t>
        </is>
      </c>
      <c r="D13" s="5" t="inlineStr">
        <is>
          <t>mp</t>
        </is>
      </c>
    </row>
    <row r="14" ht="33.75" customHeight="1" s="23">
      <c r="A14" s="3" t="n">
        <v>7</v>
      </c>
      <c r="B14" s="5" t="inlineStr">
        <is>
          <t>+IZF01O4 [13]</t>
        </is>
      </c>
      <c r="C14" s="5" t="inlineStr">
        <is>
          <t>Sistem termoizolant realizat cu placi termoizolante de 15 cm grosime cu coeficient de transfer termic de maxim 0,038 W/mK la tavane exterioare, strat finisaj vopsea lavabila</t>
        </is>
      </c>
      <c r="D14" s="5" t="inlineStr">
        <is>
          <t>mp</t>
        </is>
      </c>
    </row>
    <row r="15" ht="22.5" customHeight="1" s="23">
      <c r="A15" s="3" t="n">
        <v>8</v>
      </c>
      <c r="B15" s="5" t="inlineStr">
        <is>
          <t>+IZF01O4 [22]</t>
        </is>
      </c>
      <c r="C15" s="5" t="inlineStr">
        <is>
          <t>Sistem termoizolant realizat cu polistiren expandat de 15 cm grosime la interior la tavane strat finisaj vopsea lavabila</t>
        </is>
      </c>
      <c r="D15" s="5" t="inlineStr">
        <is>
          <t>mp</t>
        </is>
      </c>
    </row>
    <row r="16" ht="33.75" customHeight="1" s="23">
      <c r="A16" s="3" t="n">
        <v>9</v>
      </c>
      <c r="B16" s="5" t="inlineStr">
        <is>
          <t>IZF35D+ [28]</t>
        </is>
      </c>
      <c r="C16" s="5" t="inlineStr">
        <is>
          <t>Sistem termoizolant pentru elemente de fatada realizat cu polistiren extrudat de 3 cm grosime (agrementat in Romania, cu o durabilitate garantata de min 10 ani) pentru zona spaletilor, strat finisaj exterior realizat cu tencuiala decorativa</t>
        </is>
      </c>
      <c r="D16" s="5" t="inlineStr">
        <is>
          <t>mp</t>
        </is>
      </c>
    </row>
    <row r="17" ht="33.75" customHeight="1" s="23">
      <c r="A17" s="3" t="n">
        <v>10</v>
      </c>
      <c r="B17" s="5" t="inlineStr">
        <is>
          <t>IZF35D+ [32]</t>
        </is>
      </c>
      <c r="C17" s="5" t="inlineStr">
        <is>
          <t xml:space="preserve">Sistem termoizolant pentru elemente de fatadarealizat cu polistiren extrudat de 3 cm grosime (agrementat in Romania, cu o durabilitate garantata de min 10 ani) la spaleti, pentru zona de glaf exterior </t>
        </is>
      </c>
      <c r="D17" s="5" t="inlineStr">
        <is>
          <t>mp</t>
        </is>
      </c>
    </row>
    <row r="18" ht="45" customHeight="1" s="23">
      <c r="A18" s="3" t="n">
        <v>11</v>
      </c>
      <c r="B18" s="5" t="inlineStr">
        <is>
          <t>IZF34B+ [3]</t>
        </is>
      </c>
      <c r="C18" s="5" t="inlineStr">
        <is>
          <t xml:space="preserve">Sistem termoizolant pentru elemente de soclu si pereti de subsol realizat cu polistiren extrudat de 10 cm (agrem. in Romania, durabilitate garantata de min 10 ani ), la partea supraterana a soclului, strat finisaj tencuiala mozaicata pentru soclu. </t>
        </is>
      </c>
      <c r="D18" s="5" t="inlineStr">
        <is>
          <t>mp</t>
        </is>
      </c>
    </row>
    <row r="19" ht="45" customHeight="1" s="23">
      <c r="A19" s="3" t="n">
        <v>12</v>
      </c>
      <c r="B19" s="5" t="inlineStr">
        <is>
          <t>IZF35D+ [29]</t>
        </is>
      </c>
      <c r="C19" s="5" t="inlineStr">
        <is>
          <t>Sistem termoizolant pentru elemente de fatada realizat cu polistiren expandat de 15 cm grosime (agrem. in Romania, cu o durabilitate garantata de min 10 ani) pentru zona de camp fixat cu adeziv poliuretanic, strat finisaj exterior realizat cu tencuiala decorativa.</t>
        </is>
      </c>
      <c r="D19" s="5" t="inlineStr">
        <is>
          <t>mp</t>
        </is>
      </c>
    </row>
    <row r="20" ht="33.75" customHeight="1" s="23">
      <c r="A20" s="3" t="n">
        <v>13</v>
      </c>
      <c r="B20" s="5" t="inlineStr">
        <is>
          <t>IZF35D+ [79]</t>
        </is>
      </c>
      <c r="C20" s="5" t="inlineStr">
        <is>
          <t>Sistem termoizolant pentru fatada realizat cu vata minerala bazaltica de 15 cm fixata cu adeziv poliuretanic(agrementat in Romania, cu o durabilitate garantata de min 10 ani), strat finisaj exterior realizat cu tencuiala decorativa</t>
        </is>
      </c>
      <c r="D20" s="5" t="inlineStr">
        <is>
          <t>mp</t>
        </is>
      </c>
    </row>
    <row r="21" ht="33.75" customHeight="1" s="23">
      <c r="A21" s="3" t="n">
        <v>14</v>
      </c>
      <c r="B21" s="5" t="inlineStr">
        <is>
          <t>IZF35D+ [78]</t>
        </is>
      </c>
      <c r="C21" s="5" t="inlineStr">
        <is>
          <t>Sistem termoizolant pentru elemente de fatada realizat cu vata minerala bazaltica de 15 cm grosime (agrementat in Romania, cu o durabilitate garantata de min 10 ani), strat finisaj exterior masa de spaclu sub sarpante false</t>
        </is>
      </c>
      <c r="D21" s="5" t="inlineStr">
        <is>
          <t>mp</t>
        </is>
      </c>
    </row>
    <row r="22" ht="11.25" customHeight="1" s="23">
      <c r="A22" s="3" t="n">
        <v>15</v>
      </c>
      <c r="B22" s="5" t="inlineStr">
        <is>
          <t>NMB012391 [2]</t>
        </is>
      </c>
      <c r="C22" s="5" t="inlineStr">
        <is>
          <t xml:space="preserve">Spor manopera - pentru lucrari de termoizolare pereti exteriori cu alpinisti utilitari </t>
        </is>
      </c>
      <c r="D22" s="5" t="inlineStr">
        <is>
          <t>mp</t>
        </is>
      </c>
    </row>
    <row r="23" ht="21" customHeight="1" s="23">
      <c r="A23" s="3" t="n">
        <v>16</v>
      </c>
      <c r="B23" s="5" t="inlineStr">
        <is>
          <t>CK26A# [38]</t>
        </is>
      </c>
      <c r="C23" s="5" t="inlineStr">
        <is>
          <t xml:space="preserve">Glafuri interioare din PVC montate la ferestre  </t>
        </is>
      </c>
      <c r="D23" s="5" t="inlineStr">
        <is>
          <t>m</t>
        </is>
      </c>
      <c r="F23" s="261" t="inlineStr">
        <is>
          <t>aceeasi norma si la spatii comune si al individuale</t>
        </is>
      </c>
    </row>
    <row r="24" ht="22.5" customHeight="1" s="23">
      <c r="A24" s="3" t="n">
        <v>17</v>
      </c>
      <c r="B24" s="5" t="inlineStr">
        <is>
          <t>CL20A1 [4]</t>
        </is>
      </c>
      <c r="C24" s="5" t="inlineStr">
        <is>
          <t xml:space="preserve">Confectii metalice diverse din profile metalice, otel beton, montate la parapetii balcoanelor pentru sustineri si consolidari  </t>
        </is>
      </c>
      <c r="D24" s="5" t="inlineStr">
        <is>
          <t>kg</t>
        </is>
      </c>
    </row>
    <row r="25" ht="22.5" customHeight="1" s="23">
      <c r="A25" s="3" t="inlineStr">
        <is>
          <t>17.L</t>
        </is>
      </c>
      <c r="B25" s="5" t="n">
        <v>20027713</v>
      </c>
      <c r="C25" s="5" t="inlineStr">
        <is>
          <t>Confectii metalice diverse din profile laminate, tevi rectangulare, tabla, etc confectionate conform detaliu</t>
        </is>
      </c>
      <c r="D25" s="5" t="inlineStr">
        <is>
          <t>kg</t>
        </is>
      </c>
    </row>
    <row r="26" ht="22.5" customHeight="1" s="23">
      <c r="A26" s="3" t="n">
        <v>18</v>
      </c>
      <c r="B26" s="5" t="inlineStr">
        <is>
          <t>CD18A% [5]</t>
        </is>
      </c>
      <c r="C26" s="5" t="inlineStr">
        <is>
          <t>Placare cu placi de ciment armate cu plasa din fibra de sticla tip placocem, 1 strat, la parapetii balcoanelor si logiilor</t>
        </is>
      </c>
      <c r="D26" s="5" t="inlineStr">
        <is>
          <t>mp</t>
        </is>
      </c>
    </row>
    <row r="27" ht="11.25" customHeight="1" s="23">
      <c r="A27" s="3" t="n">
        <v>19</v>
      </c>
      <c r="B27" s="5" t="inlineStr">
        <is>
          <t>VB13A1[ 5 ]</t>
        </is>
      </c>
      <c r="C27" s="5" t="inlineStr">
        <is>
          <t xml:space="preserve">Rama cu jaluzele fixe cu plasa avand perimetrul de 700-1400 mm pentru aerisire </t>
        </is>
      </c>
      <c r="D27" s="5" t="inlineStr">
        <is>
          <t>buc</t>
        </is>
      </c>
    </row>
    <row r="28" ht="11.25" customHeight="1" s="23">
      <c r="A28" s="3" t="inlineStr">
        <is>
          <t>19.L</t>
        </is>
      </c>
      <c r="B28" s="5" t="n">
        <v>20027736</v>
      </c>
      <c r="C28" s="5" t="inlineStr">
        <is>
          <t>Grila de ventilare cu plasa dimensiunea 20x20cm</t>
        </is>
      </c>
      <c r="D28" s="5" t="inlineStr">
        <is>
          <t>buc</t>
        </is>
      </c>
    </row>
    <row r="29" ht="11.25" customHeight="1" s="23">
      <c r="A29" s="3" t="n">
        <v>20</v>
      </c>
      <c r="B29" s="5" t="inlineStr">
        <is>
          <t>CC09A1 [19]</t>
        </is>
      </c>
      <c r="C29" s="5" t="inlineStr">
        <is>
          <t>Ancorarea chimica a armaturilor FI 12mm L= 150mm</t>
        </is>
      </c>
      <c r="D29" s="5" t="inlineStr">
        <is>
          <t>buc</t>
        </is>
      </c>
    </row>
    <row r="30" ht="11.25" customHeight="1" s="23">
      <c r="A30" s="3" t="n">
        <v>21</v>
      </c>
      <c r="B30" s="5" t="inlineStr">
        <is>
          <t>CE15C1 [4]</t>
        </is>
      </c>
      <c r="C30" s="5" t="inlineStr">
        <is>
          <t>Glaf pentru colturi din tabla zincata de 0,5 mm grosime</t>
        </is>
      </c>
      <c r="D30" s="5" t="inlineStr">
        <is>
          <t>m</t>
        </is>
      </c>
    </row>
    <row r="31" ht="11.25" customHeight="1" s="23">
      <c r="A31" s="3" t="n">
        <v>22</v>
      </c>
      <c r="B31" s="5" t="inlineStr">
        <is>
          <t>RPCXA01A</t>
        </is>
      </c>
      <c r="C31" s="5" t="inlineStr">
        <is>
          <t xml:space="preserve">Sapatura manuala pamant spatii limitate &lt;1m. sub...1. 5m. adinc la sant canale etc. </t>
        </is>
      </c>
      <c r="D31" s="5" t="inlineStr">
        <is>
          <t>mc</t>
        </is>
      </c>
    </row>
    <row r="32" ht="22.5" customHeight="1" s="23">
      <c r="A32" s="3" t="n">
        <v>23</v>
      </c>
      <c r="B32" s="5" t="inlineStr">
        <is>
          <t>CA01A1</t>
        </is>
      </c>
      <c r="C32" s="5" t="inlineStr">
        <is>
          <t>Turnarea betonului simplu  în fundatii continue, izolate si socluri cu volum pâna la 3 mc, inclusiv</t>
        </is>
      </c>
      <c r="D32" s="5" t="inlineStr">
        <is>
          <t>mc</t>
        </is>
      </c>
    </row>
    <row r="33" ht="11.25" customHeight="1" s="23">
      <c r="A33" s="3" t="inlineStr">
        <is>
          <t>23.L</t>
        </is>
      </c>
      <c r="B33" s="5" t="n">
        <v>2100971</v>
      </c>
      <c r="C33" s="5" t="inlineStr">
        <is>
          <t>Beton de ciment    B 300   stas  3622</t>
        </is>
      </c>
      <c r="D33" s="5" t="inlineStr">
        <is>
          <t>mc</t>
        </is>
      </c>
    </row>
    <row r="34" ht="22.5" customHeight="1" s="23">
      <c r="A34" s="3" t="n">
        <v>24</v>
      </c>
      <c r="B34" s="5" t="inlineStr">
        <is>
          <t>CE18A1</t>
        </is>
      </c>
      <c r="C34" s="5" t="inlineStr">
        <is>
          <t xml:space="preserve">Astereala la învelitori sau la doliile invelitorilor din tigla si azbociment scinduri din rasinoase  </t>
        </is>
      </c>
      <c r="D34" s="5" t="inlineStr">
        <is>
          <t>mp</t>
        </is>
      </c>
    </row>
    <row r="35" ht="11.25" customHeight="1" s="23">
      <c r="A35" s="3" t="n">
        <v>25</v>
      </c>
      <c r="B35" s="5" t="inlineStr">
        <is>
          <t>IZF10C1 [22]</t>
        </is>
      </c>
      <c r="C35" s="5" t="inlineStr">
        <is>
          <t>Termoizolatie realizata cu polistiren expandat ignifugat EPS 120 de 20 cm la terase</t>
        </is>
      </c>
      <c r="D35" s="5" t="inlineStr">
        <is>
          <t>mp</t>
        </is>
      </c>
    </row>
    <row r="36" ht="22.5" customHeight="1" s="23">
      <c r="A36" s="3" t="n">
        <v>26</v>
      </c>
      <c r="B36" s="5" t="inlineStr">
        <is>
          <t>IZF10C1 [23]</t>
        </is>
      </c>
      <c r="C36" s="5" t="inlineStr">
        <is>
          <t>Termoizolatie realizata cu polistiren expandat ignifugat EPS 120 de 5 cm la aticul de la terase</t>
        </is>
      </c>
      <c r="D36" s="5" t="inlineStr">
        <is>
          <t>mp</t>
        </is>
      </c>
    </row>
    <row r="37" ht="22.5" customHeight="1" s="23">
      <c r="A37" s="3" t="n">
        <v>27</v>
      </c>
      <c r="B37" s="5" t="inlineStr">
        <is>
          <t>IZF10C1 [24]</t>
        </is>
      </c>
      <c r="C37" s="5" t="inlineStr">
        <is>
          <t>Termoizolatie realizata cu polistiren expandat ignifugat EPS 120 de 5 cm la gurile de aerisire de la terase</t>
        </is>
      </c>
      <c r="D37" s="5" t="inlineStr">
        <is>
          <t>mp</t>
        </is>
      </c>
    </row>
    <row r="38" ht="11.25" customHeight="1" s="23">
      <c r="A38" s="3" t="n">
        <v>28</v>
      </c>
      <c r="B38" s="5" t="inlineStr">
        <is>
          <t>CG01D1 [14]</t>
        </is>
      </c>
      <c r="C38" s="5" t="inlineStr">
        <is>
          <t xml:space="preserve">Strat de sapa turnata la terase grosime medie 6 cm supratata fin driscuita </t>
        </is>
      </c>
      <c r="D38" s="5" t="inlineStr">
        <is>
          <t>mp</t>
        </is>
      </c>
    </row>
    <row r="39" ht="11.25" customHeight="1" s="23">
      <c r="A39" s="3" t="inlineStr">
        <is>
          <t>28.L</t>
        </is>
      </c>
      <c r="B39" s="5" t="n">
        <v>2101200</v>
      </c>
      <c r="C39" s="5" t="inlineStr">
        <is>
          <t>Mortar tencuiala M 100 (var pasta) s 1030</t>
        </is>
      </c>
      <c r="D39" s="5" t="inlineStr">
        <is>
          <t>mc</t>
        </is>
      </c>
    </row>
    <row r="40" ht="22.5" customHeight="1" s="23">
      <c r="A40" s="3" t="n">
        <v>29</v>
      </c>
      <c r="B40" s="5" t="inlineStr">
        <is>
          <t>CG01D1 [3]</t>
        </is>
      </c>
      <c r="C40" s="5" t="inlineStr">
        <is>
          <t>Strat de protectie a polistirenului executat din mortar de ciment marca M 100-T de 6 cm grosime medie, cu suprafata driscuita la planseul peste ultimul nivel, in pod</t>
        </is>
      </c>
      <c r="D40" s="5" t="inlineStr">
        <is>
          <t>mp</t>
        </is>
      </c>
    </row>
    <row r="41" ht="11.25" customHeight="1" s="23">
      <c r="A41" s="3" t="inlineStr">
        <is>
          <t>29.L</t>
        </is>
      </c>
      <c r="B41" s="5" t="n">
        <v>2101200</v>
      </c>
      <c r="C41" s="5" t="inlineStr">
        <is>
          <t>Mortar tencuiala M 100 (var pasta) s 1030</t>
        </is>
      </c>
      <c r="D41" s="5" t="inlineStr">
        <is>
          <t>mc</t>
        </is>
      </c>
    </row>
    <row r="42" ht="11.25" customHeight="1" s="23">
      <c r="A42" s="3" t="n">
        <v>30</v>
      </c>
      <c r="B42" s="5" t="inlineStr">
        <is>
          <t>IZF28A+ [1]</t>
        </is>
      </c>
      <c r="C42" s="5" t="inlineStr">
        <is>
          <t>Strat de separatie din folie PVC</t>
        </is>
      </c>
      <c r="D42" s="5" t="inlineStr">
        <is>
          <t>mp</t>
        </is>
      </c>
    </row>
    <row r="43" ht="11.25" customHeight="1" s="23">
      <c r="A43" s="3" t="n">
        <v>31</v>
      </c>
      <c r="B43" s="5" t="inlineStr">
        <is>
          <t>TE06C1</t>
        </is>
      </c>
      <c r="C43" s="5" t="inlineStr">
        <is>
          <t xml:space="preserve">Plasa de armatura sudata tip stnb...d=6mm ochiurile 100x100mm  </t>
        </is>
      </c>
      <c r="D43" s="5" t="inlineStr">
        <is>
          <t>mp</t>
        </is>
      </c>
    </row>
    <row r="44" ht="11.25" customHeight="1" s="23">
      <c r="A44" s="3" t="n">
        <v>32</v>
      </c>
      <c r="B44" s="5" t="inlineStr">
        <is>
          <t>AUT3343A1</t>
        </is>
      </c>
      <c r="C44" s="5" t="inlineStr">
        <is>
          <t>Pompa pneumaticade beton pb250 4-6mc/ora</t>
        </is>
      </c>
      <c r="D44" s="5" t="inlineStr">
        <is>
          <t>ora</t>
        </is>
      </c>
    </row>
    <row r="45" ht="22.5" customHeight="1" s="23">
      <c r="A45" s="3" t="n">
        <v>33</v>
      </c>
      <c r="B45" s="5" t="inlineStr">
        <is>
          <t>TsD16XB [8]</t>
        </is>
      </c>
      <c r="C45" s="5" t="inlineStr">
        <is>
          <t>Strat de lest din pietris cu granulatie de 16-32 mm aplicat peste membrana hidroizolanta la terasa grosime medie 5cm</t>
        </is>
      </c>
      <c r="D45" s="5" t="inlineStr">
        <is>
          <t>mp</t>
        </is>
      </c>
    </row>
    <row r="46" ht="11.25" customHeight="1" s="23">
      <c r="A46" s="3" t="n">
        <v>34</v>
      </c>
      <c r="B46" s="5" t="inlineStr">
        <is>
          <t>IZF03A1 [6]</t>
        </is>
      </c>
      <c r="C46" s="5" t="inlineStr">
        <is>
          <t>Montare folie textila pentru separare straturi tip geotextil</t>
        </is>
      </c>
      <c r="D46" s="5" t="inlineStr">
        <is>
          <t>mp</t>
        </is>
      </c>
    </row>
    <row r="47" ht="11.25" customHeight="1" s="23">
      <c r="A47" s="3" t="inlineStr">
        <is>
          <t>34.L</t>
        </is>
      </c>
      <c r="B47" s="5" t="n">
        <v>2600517</v>
      </c>
      <c r="C47" s="5" t="inlineStr">
        <is>
          <t>Folie separare straturi tip geotextil 300g/mp</t>
        </is>
      </c>
      <c r="D47" s="5" t="inlineStr">
        <is>
          <t>mp</t>
        </is>
      </c>
    </row>
    <row r="48" ht="33.75" customHeight="1" s="23">
      <c r="A48" s="3" t="n">
        <v>35</v>
      </c>
      <c r="B48" s="5" t="inlineStr">
        <is>
          <t>+IZF01O6 [20]</t>
        </is>
      </c>
      <c r="C48" s="5" t="inlineStr">
        <is>
          <t>Sistem termoizolant realizat cu vata minerala de 20cm grosime, cu efort la compresiune de min 20 kPa (agrementat in Romania cu o durabilitate garantata de min 10 ani), la planseul peste ultimul nivel, in pod</t>
        </is>
      </c>
      <c r="D48" s="5" t="inlineStr">
        <is>
          <t>mp</t>
        </is>
      </c>
    </row>
    <row r="49" ht="33.75" customHeight="1" s="23">
      <c r="A49" s="3" t="n">
        <v>36</v>
      </c>
      <c r="B49" s="5" t="inlineStr">
        <is>
          <t xml:space="preserve"> +IZF01A6 [5]</t>
        </is>
      </c>
      <c r="C49" s="5" t="inlineStr">
        <is>
          <t>Sistem termoizolant realizat cu vata minerala grosime 5 cm, cu efort la compresiune de min 20 kPa, la aticul din pod (agrementat in Romania cu o durabilitate garantata de min 10 ani), strat finisaj glet si lavabila de exterior</t>
        </is>
      </c>
      <c r="D49" s="5" t="inlineStr">
        <is>
          <t>mp</t>
        </is>
      </c>
    </row>
    <row r="50" ht="33.75" customHeight="1" s="23">
      <c r="A50" s="3" t="n">
        <v>37</v>
      </c>
      <c r="B50" s="5" t="inlineStr">
        <is>
          <t>+IZF01A8 [6]</t>
        </is>
      </c>
      <c r="C50" s="5" t="inlineStr">
        <is>
          <t>Sistem termoizolant realizat cu vata minerala bazaltica, grosime 5 cm , cu efort la compresiune de min 20 kPa, la gurile de aerisire din pod (agrementat in Romania cu o durabilitate garantata de min 10 ani), strat finisaj glet si lavabila de exterior,</t>
        </is>
      </c>
      <c r="D50" s="5" t="inlineStr">
        <is>
          <t>mp</t>
        </is>
      </c>
    </row>
    <row r="51" ht="33.75" customHeight="1" s="23">
      <c r="A51" s="3" t="n">
        <v>38</v>
      </c>
      <c r="B51" s="5" t="inlineStr">
        <is>
          <t xml:space="preserve"> +IZF01O6</t>
        </is>
      </c>
      <c r="C51" s="5" t="inlineStr">
        <is>
          <t>Sistem termoizolant realizat cu polistiren expandat EPS 120, de 20cm grosime (agrementat in Romania cu o durabilitate garantata de min 10 ani), la planseul peste ultimul nivel, in pod</t>
        </is>
      </c>
      <c r="D51" s="5" t="inlineStr">
        <is>
          <t>mp</t>
        </is>
      </c>
    </row>
    <row r="52" ht="33.75" customHeight="1" s="23">
      <c r="A52" s="3" t="n">
        <v>39</v>
      </c>
      <c r="B52" s="5" t="inlineStr">
        <is>
          <t>+IZF01A6 [1]</t>
        </is>
      </c>
      <c r="C52" s="5" t="inlineStr">
        <is>
          <t>Sistem termoizolant realizat cu polistiren expandat de 5 cm la aticul din pod (agrementat in Romania cu o durabilitate garantata de min 10 ani), strat finisaj glet, amorsa si lavabila de exterior</t>
        </is>
      </c>
      <c r="D52" s="5" t="inlineStr">
        <is>
          <t>mp</t>
        </is>
      </c>
    </row>
    <row r="53" ht="33.75" customHeight="1" s="23">
      <c r="A53" s="3" t="n">
        <v>40</v>
      </c>
      <c r="B53" s="5" t="inlineStr">
        <is>
          <t>+IZF01A8 [1]</t>
        </is>
      </c>
      <c r="C53" s="5" t="inlineStr">
        <is>
          <t>Sistem termoizolant realizat cu polistiren expandat de 5 cm la gurile de aerisire din pod (agrementat in Romania cu o durabilitate garantata de min 10 ani), strat finisaj glet, amorsa si lavabila de exterior</t>
        </is>
      </c>
      <c r="D53" s="5" t="inlineStr">
        <is>
          <t>mp</t>
        </is>
      </c>
    </row>
    <row r="54" ht="22.5" customHeight="1" s="23">
      <c r="A54" s="3" t="n">
        <v>41</v>
      </c>
      <c r="B54" s="5" t="inlineStr">
        <is>
          <t>CP37J1 [3]</t>
        </is>
      </c>
      <c r="C54" s="5" t="inlineStr">
        <is>
          <t xml:space="preserve">Asimilat - Etansarea rosturilor orizontale la atic terasa sau pod cu fâsii din polistiren ignifugat de 5 cm grosime si profil de rost; </t>
        </is>
      </c>
      <c r="D54" s="5" t="inlineStr">
        <is>
          <t>m</t>
        </is>
      </c>
    </row>
    <row r="55" ht="22.5" customHeight="1" s="23">
      <c r="A55" s="3" t="n">
        <v>42</v>
      </c>
      <c r="B55" s="5" t="inlineStr">
        <is>
          <t>CP37J1 [5]</t>
        </is>
      </c>
      <c r="C55" s="5" t="inlineStr">
        <is>
          <t xml:space="preserve">Asimilat - Etansarea rosturilor orizontale la atic terasa sau pod cu fâsii vata minerala bazaltica de 5 cm grosime si profil de rost; </t>
        </is>
      </c>
      <c r="D55" s="5" t="inlineStr">
        <is>
          <t>m</t>
        </is>
      </c>
    </row>
    <row r="56" ht="22.5" customHeight="1" s="23">
      <c r="A56" s="3" t="n">
        <v>43</v>
      </c>
      <c r="B56" s="5" t="inlineStr">
        <is>
          <t>CO22A1 [1]</t>
        </is>
      </c>
      <c r="C56" s="5" t="inlineStr">
        <is>
          <t>Grinzi din lemn ecarisat folosite ca suport pentru placi de OSB care protejeaza vata minerala la planseul peste ultimul nivel</t>
        </is>
      </c>
      <c r="D56" s="5" t="inlineStr">
        <is>
          <t>mc</t>
        </is>
      </c>
    </row>
    <row r="57" ht="11.25" customHeight="1" s="23">
      <c r="A57" s="3" t="inlineStr">
        <is>
          <t>43.L</t>
        </is>
      </c>
      <c r="B57" s="5" t="n">
        <v>2960632</v>
      </c>
      <c r="C57" s="5" t="inlineStr">
        <is>
          <t>Lemn ecarisat de rasinoase</t>
        </is>
      </c>
      <c r="D57" s="5" t="inlineStr">
        <is>
          <t>mc</t>
        </is>
      </c>
    </row>
    <row r="58" ht="22.5" customHeight="1" s="23">
      <c r="A58" s="3" t="n">
        <v>44</v>
      </c>
      <c r="B58" s="5" t="inlineStr">
        <is>
          <t>CD20A+ [11]</t>
        </is>
      </c>
      <c r="C58" s="5" t="inlineStr">
        <is>
          <t>Placi din OSB, grosime 12mm utilizate pentru protectie vata minerala la termoizolarea planseului peste ultimul nivel</t>
        </is>
      </c>
      <c r="D58" s="5" t="inlineStr">
        <is>
          <t>mp</t>
        </is>
      </c>
    </row>
    <row r="59" ht="11.25" customHeight="1" s="23">
      <c r="A59" s="3" t="n">
        <v>45</v>
      </c>
      <c r="B59" s="5" t="inlineStr">
        <is>
          <t>RPCE07B+ [2]</t>
        </is>
      </c>
      <c r="C59" s="5" t="inlineStr">
        <is>
          <t>Strat de bariera contra vaporilor la plansee termoizolate cu vata minerala</t>
        </is>
      </c>
      <c r="D59" s="5" t="inlineStr">
        <is>
          <t>mp</t>
        </is>
      </c>
    </row>
    <row r="60" ht="11.25" customHeight="1" s="23">
      <c r="A60" s="3" t="n">
        <v>46</v>
      </c>
      <c r="B60" s="5" t="inlineStr">
        <is>
          <t>CN54A+ [1]</t>
        </is>
      </c>
      <c r="C60" s="5" t="inlineStr">
        <is>
          <t xml:space="preserve">Ignifugare si protectie insecto-fungicida elementelor de constructii din lemn </t>
        </is>
      </c>
      <c r="D60" s="5" t="inlineStr">
        <is>
          <t>mp</t>
        </is>
      </c>
    </row>
    <row r="61" ht="33.75" customHeight="1" s="23">
      <c r="A61" s="3" t="n">
        <v>47</v>
      </c>
      <c r="B61" s="5" t="inlineStr">
        <is>
          <t>+IZF01L [1]</t>
        </is>
      </c>
      <c r="C61" s="5" t="inlineStr">
        <is>
          <t xml:space="preserve">Sistem termoizolant realizat cu polistiren expandat ignifugat de 10 cm grosime pentru planseu peste subsol (agrementat in Romania cu o durabilitate garantata de min 10 ani), strat finisaj glet </t>
        </is>
      </c>
      <c r="D61" s="5" t="inlineStr">
        <is>
          <t>mp</t>
        </is>
      </c>
    </row>
    <row r="62" ht="33.75" customHeight="1" s="23">
      <c r="A62" s="3" t="n">
        <v>48</v>
      </c>
      <c r="B62" s="5" t="inlineStr">
        <is>
          <t>+IZF01O4 [6]</t>
        </is>
      </c>
      <c r="C62" s="5" t="inlineStr">
        <is>
          <t>Sistem termoizolant realizat cu vata minerala bazaltica de 10 cm grosime la tavane (agrementat in Romania cu o durabilitate garantata de min 10 ani), strat finisaj glet si vopsea lavabila</t>
        </is>
      </c>
      <c r="D62" s="5" t="inlineStr">
        <is>
          <t>mp</t>
        </is>
      </c>
    </row>
    <row r="63" ht="33.75" customHeight="1" s="23">
      <c r="A63" s="3" t="n">
        <v>49</v>
      </c>
      <c r="B63" s="5" t="inlineStr">
        <is>
          <t>IZF35D+ [11]</t>
        </is>
      </c>
      <c r="C63" s="5" t="inlineStr">
        <is>
          <t>Sistem termoizolant realizat cu vata minerala bazaltica de 10 cm grosime la pereti (agrementat in Romania, cu o durabilitate garantata de min 10 ani), strat finisaj interior realizat cu glet si vopsea lavabila</t>
        </is>
      </c>
      <c r="D63" s="5" t="inlineStr">
        <is>
          <t>mp</t>
        </is>
      </c>
    </row>
    <row r="64" ht="33.75" customHeight="1" s="23">
      <c r="A64" s="3" t="n">
        <v>50</v>
      </c>
      <c r="B64" s="5" t="inlineStr">
        <is>
          <t>IZF35D+[ 18 ]</t>
        </is>
      </c>
      <c r="C64" s="5" t="inlineStr">
        <is>
          <t>Sistem termoizolant pentru elemente de fatada realizat cu polistiren expandat de 10 cm grosime (agrementat in Romania, cu o durabilitate garantata de min 10 ani) pentru zona de camp , strat finisaj exterior realizat cu tencuiala decorativa.</t>
        </is>
      </c>
      <c r="D64" s="5" t="inlineStr">
        <is>
          <t>mp</t>
        </is>
      </c>
    </row>
    <row r="65" ht="33.75" customHeight="1" s="23">
      <c r="A65" s="3" t="n">
        <v>51</v>
      </c>
      <c r="B65" s="5" t="inlineStr">
        <is>
          <t xml:space="preserve">IZF35D+[ 58 ] </t>
        </is>
      </c>
      <c r="C65" s="5" t="inlineStr">
        <is>
          <t>Sistem termoizolant pentru elemente de fatada realizat cu vata minerala bazaltica de 10 cm grosime (agrementat in Romania, cu o durabilitate garantata de min 10 ani), strat finisaj exterior realizat cu tencuiala decorativa..</t>
        </is>
      </c>
      <c r="D65" s="5" t="inlineStr">
        <is>
          <t>mp</t>
        </is>
      </c>
    </row>
    <row r="66" ht="22.5" customHeight="1" s="23">
      <c r="A66" s="3" t="n">
        <v>52</v>
      </c>
      <c r="B66" s="5" t="inlineStr">
        <is>
          <t>RPCH09B1 [11]</t>
        </is>
      </c>
      <c r="C66" s="5" t="inlineStr">
        <is>
          <t>Montare conectori metalici pentru prindere elemente din lemn la sarpante - piesa tip vinclu 100x100x100mm</t>
        </is>
      </c>
      <c r="D66" s="5" t="inlineStr">
        <is>
          <t>buc</t>
        </is>
      </c>
    </row>
    <row r="67" ht="11.25" customHeight="1" s="23">
      <c r="A67" s="3" t="inlineStr">
        <is>
          <t>52.L</t>
        </is>
      </c>
      <c r="B67" s="5" t="n">
        <v>2308383</v>
      </c>
      <c r="C67" s="5" t="inlineStr">
        <is>
          <t>Piesa metalica pentru prindere elemente de sarpanta tip vinclu 100x100x100mm</t>
        </is>
      </c>
      <c r="D67" s="5" t="inlineStr">
        <is>
          <t>buc</t>
        </is>
      </c>
    </row>
    <row r="68" ht="22.5" customHeight="1" s="23">
      <c r="A68" s="3" t="n">
        <v>53</v>
      </c>
      <c r="B68" s="5" t="inlineStr">
        <is>
          <t>RPCH09B1 [12]</t>
        </is>
      </c>
      <c r="C68" s="5" t="inlineStr">
        <is>
          <t>Montare conectori metalici pentru prindere elemente din lemn la sarpante - piesa tip vinclu 150x150x150mm</t>
        </is>
      </c>
      <c r="D68" s="5" t="inlineStr">
        <is>
          <t>buc</t>
        </is>
      </c>
    </row>
    <row r="69" ht="11.25" customHeight="1" s="23">
      <c r="A69" s="3" t="inlineStr">
        <is>
          <t>53.L</t>
        </is>
      </c>
      <c r="B69" s="5" t="n">
        <v>2308384</v>
      </c>
      <c r="C69" s="5" t="inlineStr">
        <is>
          <t>Piesa metalica pentru prindere elemente de sarpanta tip vinclu 150x150x150mm</t>
        </is>
      </c>
      <c r="D69" s="5" t="inlineStr">
        <is>
          <t>buc</t>
        </is>
      </c>
    </row>
    <row r="70" ht="33.75" customHeight="1" s="23">
      <c r="A70" s="3" t="n">
        <v>54</v>
      </c>
      <c r="B70" s="5" t="inlineStr">
        <is>
          <t>CE01A1</t>
        </is>
      </c>
      <c r="C70" s="5" t="inlineStr">
        <is>
          <t>Invelitoare din tigla profilata din argila arsa la acoperisuri fara astereala, asezate pe sipci 28x48 mm, inclusiv executarea din tabla zincata a doliilor, paziilor, racordarilor la cosuri</t>
        </is>
      </c>
      <c r="D70" s="5" t="inlineStr">
        <is>
          <t>mp</t>
        </is>
      </c>
    </row>
    <row r="71" ht="11.25" customHeight="1" s="23">
      <c r="A71" s="3" t="inlineStr">
        <is>
          <t>54.L</t>
        </is>
      </c>
      <c r="B71" s="5" t="n">
        <v>2303016</v>
      </c>
      <c r="C71" s="5" t="inlineStr">
        <is>
          <t>Tigla cu jgheab lat.cu  4 cioc c2 405x230x11       s515</t>
        </is>
      </c>
      <c r="D71" s="5" t="inlineStr">
        <is>
          <t>buc</t>
        </is>
      </c>
    </row>
    <row r="72" ht="33.75" customHeight="1" s="23">
      <c r="A72" s="3" t="n">
        <v>55</v>
      </c>
      <c r="B72" s="5" t="inlineStr">
        <is>
          <t>IZF35D+ [9]</t>
        </is>
      </c>
      <c r="C72" s="5" t="inlineStr">
        <is>
          <t>Sistem termoizolant realizat cu vata minerala bazaltica de 15 cm grosime (agrementat in Romania, cu o durabilitate garantata de min 10 ani), la acoperis sarpanta, intre capriori</t>
        </is>
      </c>
      <c r="D72" s="5" t="inlineStr">
        <is>
          <t>mp</t>
        </is>
      </c>
    </row>
    <row r="73" ht="22.5" customHeight="1" s="23">
      <c r="A73" s="3" t="n">
        <v>56</v>
      </c>
      <c r="B73" s="5" t="inlineStr">
        <is>
          <t>CD20A+ [13]</t>
        </is>
      </c>
      <c r="C73" s="5" t="inlineStr">
        <is>
          <t>Placi presate plate din OSB, grosime 12mm utilizate pentru protectie vata minerala la termoizolarea acoperisului de la mansarda</t>
        </is>
      </c>
      <c r="D73" s="5" t="inlineStr">
        <is>
          <t>mp</t>
        </is>
      </c>
    </row>
    <row r="74" ht="22.5" customHeight="1" s="23">
      <c r="A74" s="3" t="n">
        <v>57</v>
      </c>
      <c r="B74" s="5" t="inlineStr">
        <is>
          <t>CD18A% [10]</t>
        </is>
      </c>
      <c r="C74" s="5" t="inlineStr">
        <is>
          <t>Placare cu placi de gipscarton rezistente la foc pe structura metalica la acoperis mansarda</t>
        </is>
      </c>
      <c r="D74" s="5" t="inlineStr">
        <is>
          <t>mp</t>
        </is>
      </c>
    </row>
    <row r="75" ht="33.75" customHeight="1" s="23">
      <c r="A75" s="3" t="n">
        <v>58</v>
      </c>
      <c r="B75" s="5" t="inlineStr">
        <is>
          <t>CF06D1</t>
        </is>
      </c>
      <c r="C75" s="5" t="inlineStr">
        <is>
          <t>Tencuieli exterioare obisnuite executate manual, driscuite, de pe platforma de lucru a cofrajelor glisante, cu mortar de var-ciment marca M25-T, în grosime medie de 1 cm ;</t>
        </is>
      </c>
      <c r="D75" s="5" t="inlineStr">
        <is>
          <t>mp</t>
        </is>
      </c>
    </row>
    <row r="76" ht="11.25" customHeight="1" s="23">
      <c r="A76" s="3" t="inlineStr">
        <is>
          <t>58.L</t>
        </is>
      </c>
      <c r="B76" s="5" t="n">
        <v>2101198</v>
      </c>
      <c r="C76" s="5" t="inlineStr">
        <is>
          <t>Mortar pentru tencuiala M 25 - T</t>
        </is>
      </c>
      <c r="D76" s="5" t="inlineStr">
        <is>
          <t>mc</t>
        </is>
      </c>
    </row>
    <row r="77" ht="22.5" customHeight="1" s="23">
      <c r="A77" s="3" t="n">
        <v>59</v>
      </c>
      <c r="B77" s="5" t="inlineStr">
        <is>
          <t xml:space="preserve"> +CN02B</t>
        </is>
      </c>
      <c r="C77" s="5" t="inlineStr">
        <is>
          <t xml:space="preserve">Tencuieliexecutate cu tencuieli decorative la pereti exteriori si diverse elemente de constructie exterioare </t>
        </is>
      </c>
      <c r="D77" s="5" t="inlineStr">
        <is>
          <t>mp</t>
        </is>
      </c>
    </row>
    <row r="78" ht="11.25" customHeight="1" s="23">
      <c r="A78" s="3" t="n">
        <v>60</v>
      </c>
      <c r="B78" s="5" t="inlineStr">
        <is>
          <t>RPCI42A# [10]</t>
        </is>
      </c>
      <c r="C78" s="5" t="inlineStr">
        <is>
          <t xml:space="preserve">Demontare cos de fum din tubulatura tabla diametru de 150-200mm                     is.   </t>
        </is>
      </c>
      <c r="D78" s="5" t="inlineStr">
        <is>
          <t>m</t>
        </is>
      </c>
    </row>
    <row r="79" ht="11.25" customHeight="1" s="23">
      <c r="A79" s="3" t="n">
        <v>61</v>
      </c>
      <c r="B79" s="5" t="inlineStr">
        <is>
          <t>CD11F% [2]</t>
        </is>
      </c>
      <c r="C79" s="5" t="inlineStr">
        <is>
          <t>Sistem de cos de fum din inox izolat d.int=200 mm montare + procurare</t>
        </is>
      </c>
      <c r="D79" s="5" t="inlineStr">
        <is>
          <t>m</t>
        </is>
      </c>
    </row>
    <row r="80" ht="11.25" customHeight="1" s="23">
      <c r="A80" s="3" t="inlineStr">
        <is>
          <t>61.L</t>
        </is>
      </c>
      <c r="B80" s="6" t="n">
        <v>1805</v>
      </c>
      <c r="C80" s="5" t="inlineStr">
        <is>
          <t>Racord la cosul de fum d=125mm</t>
        </is>
      </c>
      <c r="D80" s="5" t="inlineStr">
        <is>
          <t>buc</t>
        </is>
      </c>
    </row>
    <row r="81" ht="22.5" customHeight="1" s="23">
      <c r="A81" s="3" t="n">
        <v>52</v>
      </c>
      <c r="B81" s="5" t="inlineStr">
        <is>
          <t>IZJ12A1 [1]</t>
        </is>
      </c>
      <c r="C81" s="5" t="inlineStr">
        <is>
          <t>Desfacerea sistemelor termoizolante realizate cu polistiren sau vata minerala de la pereti, spaleti, socluri, intrados balcoane</t>
        </is>
      </c>
      <c r="D81" s="5" t="inlineStr">
        <is>
          <t>mp</t>
        </is>
      </c>
    </row>
    <row r="82" ht="11.25" customHeight="1" s="23">
      <c r="A82" s="3" t="n">
        <v>63</v>
      </c>
      <c r="B82" s="5" t="inlineStr">
        <is>
          <t>RPCT39A1 [9]</t>
        </is>
      </c>
      <c r="C82" s="5" t="inlineStr">
        <is>
          <t>Demontarea diverselor elemente din prefabricate de beton - trafoare</t>
        </is>
      </c>
      <c r="D82" s="5" t="inlineStr">
        <is>
          <t>mp</t>
        </is>
      </c>
    </row>
    <row r="83" ht="45" customHeight="1" s="23">
      <c r="A83" s="3" t="n">
        <v>64</v>
      </c>
      <c r="B83" s="5" t="inlineStr">
        <is>
          <t>+IZA02A8 [6]</t>
        </is>
      </c>
      <c r="C83" s="5" t="inlineStr">
        <is>
          <t>Sistem termohidroizolant  realizat la copertina balconului de la ultimul etaj, cu polistiren expandat ignifugat EPS 120 de 20 cm grosime si 3 straturi de membrane bituminoase hidroizolante,(agrem. in Romania cu o durabilitate garantata de min 10 ani ).</t>
        </is>
      </c>
      <c r="D83" s="5" t="inlineStr">
        <is>
          <t>mp</t>
        </is>
      </c>
    </row>
    <row r="84" ht="27" customHeight="1" s="23">
      <c r="A84" s="3" t="n">
        <v>65</v>
      </c>
      <c r="B84" s="7" t="inlineStr">
        <is>
          <t>CE20A1 [2]</t>
        </is>
      </c>
      <c r="C84" s="7" t="inlineStr">
        <is>
          <t>Sipci din lemn montate la acoperisuri pentru sustinerea si fixarea invelitorilor din tigla ceramica.</t>
        </is>
      </c>
    </row>
    <row r="85" ht="27" customHeight="1" s="23">
      <c r="A85" s="3" t="n">
        <v>66</v>
      </c>
      <c r="B85" s="7">
        <f>"+CK02A2 [5]"</f>
        <v/>
      </c>
      <c r="C85" s="7" t="inlineStr">
        <is>
          <t>Tamplarie din profile PVC, 5 camere si panou tip panel pentru pereti despartitori</t>
        </is>
      </c>
    </row>
    <row r="86" ht="22.5" customHeight="1" s="23">
      <c r="A86" s="3" t="inlineStr">
        <is>
          <t>66.L</t>
        </is>
      </c>
      <c r="B86" s="8" t="n">
        <v>-20027680</v>
      </c>
      <c r="C86" s="261" t="inlineStr">
        <is>
          <t>Tamplarie din profile PVC cu 5 camere si panou din panel  ( pvc-polistiren extrudat-pvc) pentru pereti despartitori</t>
        </is>
      </c>
    </row>
    <row r="87" ht="13.5" customHeight="1" s="23">
      <c r="A87" s="260" t="n">
        <v>67</v>
      </c>
      <c r="B87" s="7" t="inlineStr">
        <is>
          <t xml:space="preserve">RPCP09A1 [4] </t>
        </is>
      </c>
      <c r="C87" s="9" t="inlineStr">
        <is>
          <t xml:space="preserve">Parazapezi tip bara pentru invelitori </t>
        </is>
      </c>
    </row>
    <row r="88" ht="67.5" customHeight="1" s="23">
      <c r="A88" s="10" t="n">
        <v>68</v>
      </c>
      <c r="B88" s="10" t="inlineStr">
        <is>
          <t>IZF35D+ [46]</t>
        </is>
      </c>
      <c r="C88" s="10" t="inlineStr">
        <is>
          <t>Sistem termoizolant pentru elemente de fatada realizat cu polistiren expandat de 15 cm grosime (agrementat in romania cu o durabilitate garantada de min 10 ani) pentru zona de camp strat finisaj exterior realizat cu tencujaiala decorativa imitatie caramida aparenta</t>
        </is>
      </c>
      <c r="D88" s="10" t="inlineStr">
        <is>
          <t>mp</t>
        </is>
      </c>
    </row>
    <row r="89" ht="67.5" customHeight="1" s="23">
      <c r="A89" s="10" t="n">
        <v>69</v>
      </c>
      <c r="B89" s="10" t="inlineStr">
        <is>
          <t>IZF35D+ [47]</t>
        </is>
      </c>
      <c r="C89" s="10" t="inlineStr">
        <is>
          <t>Sistem termoizolant pentru elemente de fatada realizat cu vata minerala de 15 cm grosime (agrementat in romania cu o durabilitate garantada de min 10 ani) pentru zona de camp strat finisaj exterior realizat cu tencujaiala decorativa imitatie caramida aparenta</t>
        </is>
      </c>
      <c r="D89" s="10" t="inlineStr">
        <is>
          <t>mp</t>
        </is>
      </c>
    </row>
    <row r="90" ht="67.5" customHeight="1" s="23">
      <c r="A90" s="10" t="n">
        <v>70</v>
      </c>
      <c r="B90" s="10" t="inlineStr">
        <is>
          <t>IZF35D+ [73]</t>
        </is>
      </c>
      <c r="C90" s="10" t="inlineStr">
        <is>
          <t>Sistem termoizolant pentru elemente de fatada realizat cu polistiren expandat de 10 cm grosime (agrementat in romania cu o durabilitate garantada de min 10 ani) pentru zona de camp strat finisaj exterior realizat cu tencujaiala decorativa imitatie caramida aparenta</t>
        </is>
      </c>
      <c r="D90" s="10" t="inlineStr">
        <is>
          <t>mp</t>
        </is>
      </c>
    </row>
    <row r="91" ht="67.5" customHeight="1" s="23">
      <c r="A91" s="10" t="n">
        <v>71</v>
      </c>
      <c r="B91" s="10" t="inlineStr">
        <is>
          <t>IZF35D+ [74]</t>
        </is>
      </c>
      <c r="C91" s="10" t="inlineStr">
        <is>
          <t>Sistem termoizolant pentru elemente de fatada realizat cu vata minerala de 10 cm grosime (agrementat in romania cu o durabilitate garantada de min 10 ani) pentru zona de camp strat finisaj exterior realizat cu tencujaiala decorativa imitatie caramida aparenta</t>
        </is>
      </c>
      <c r="D91" s="10" t="inlineStr">
        <is>
          <t>mp</t>
        </is>
      </c>
    </row>
    <row r="92" ht="54" customHeight="1" s="23">
      <c r="A92" s="10" t="n">
        <v>72</v>
      </c>
      <c r="B92" s="11" t="inlineStr">
        <is>
          <t xml:space="preserve"> +IZF01O4 [23]</t>
        </is>
      </c>
      <c r="C92" s="11" t="inlineStr">
        <is>
          <t>Sistem termoizolant realizat cu polistiren expandat de 20 cm grosime la tavane exterioare (agrementat in Romania cu o durabilitate garantata de min 10 ani), strat finisaj vopsea lavabila</t>
        </is>
      </c>
      <c r="D92" s="5" t="inlineStr">
        <is>
          <t>mp</t>
        </is>
      </c>
    </row>
    <row r="93" ht="27" customHeight="1" s="23">
      <c r="A93" s="10" t="n">
        <v>73</v>
      </c>
      <c r="B93" s="11" t="inlineStr">
        <is>
          <t xml:space="preserve">IZF10C1 [25] </t>
        </is>
      </c>
      <c r="C93" s="11" t="inlineStr">
        <is>
          <t>Termoizolatie realizata cu polistiren expandat ignifugat EPS 120 de 30 cm la terase</t>
        </is>
      </c>
      <c r="D93" s="5" t="inlineStr">
        <is>
          <t>mp</t>
        </is>
      </c>
    </row>
    <row r="94" ht="54" customHeight="1" s="23">
      <c r="A94" s="10" t="n">
        <v>74</v>
      </c>
      <c r="B94" s="11" t="inlineStr">
        <is>
          <t xml:space="preserve"> +IZF01O6 [22] </t>
        </is>
      </c>
      <c r="C94" s="11" t="inlineStr">
        <is>
          <t xml:space="preserve"> Sistem termoizolant realizat cu vata minerala bazaltica de 30cm grosime, R compresiune &gt;20 kPA  (agrementat in Romania cu o durabilitate garantata de min 10 ani), la planseul peste ultimul nivel, in pod</t>
        </is>
      </c>
      <c r="D94" s="11" t="inlineStr">
        <is>
          <t>mp</t>
        </is>
      </c>
    </row>
    <row r="95" ht="54" customHeight="1" s="23">
      <c r="A95" s="12" t="n">
        <v>8</v>
      </c>
      <c r="B95" s="13">
        <f>"RPCT39A1 [1]"</f>
        <v/>
      </c>
      <c r="C95" s="13" t="inlineStr">
        <is>
          <t>Demontarea balustradelor, grilelor, si parapetelor metalice  montate în beton, inclusiv elementele componente ale acestora,  sticla, prefabricate din beton, elemente ornamentale din plastic sau lemn, de la balcoane si logii.</t>
        </is>
      </c>
      <c r="D95" s="13" t="inlineStr">
        <is>
          <t>kg</t>
        </is>
      </c>
    </row>
    <row r="96" ht="54" customHeight="1" s="23">
      <c r="A96" s="14" t="n"/>
      <c r="B96" s="15" t="inlineStr">
        <is>
          <t xml:space="preserve">CK19A# [1] </t>
        </is>
      </c>
      <c r="C96" s="15" t="inlineStr">
        <is>
          <t xml:space="preserve"> Ferestre aluminiu cu unul sau mai multe canaturi, cu un rand de sticla suprafata tocului...&lt;= 3,00 mp,la constructii cu h&lt;= 35 m
 -    2500381 - Fereastra cu deschidere spre interior din profile de aluminiu cu un rand sticla</t>
        </is>
      </c>
      <c r="D96" s="2">
        <f>"mp"</f>
        <v/>
      </c>
      <c r="F96" s="261" t="inlineStr">
        <is>
          <t>pt feresterele din pod / lucarne</t>
        </is>
      </c>
    </row>
    <row r="97" ht="27" customHeight="1" s="23">
      <c r="B97" s="16" t="inlineStr">
        <is>
          <t>RPCXI05A[ 4 ]</t>
        </is>
      </c>
      <c r="C97" s="16" t="inlineStr">
        <is>
          <t>Demontare glafuri ( sorturi ) din tabla de la partea superioara a calcanului</t>
        </is>
      </c>
      <c r="D97" s="13">
        <f>"m"</f>
        <v/>
      </c>
      <c r="F97" s="260" t="inlineStr">
        <is>
          <t>montare/demontare pt glaful de la calcan  - deviz de reparatii la fatada, sau reparatii acoperis (in functie de lucrarea blocului)</t>
        </is>
      </c>
    </row>
    <row r="98" ht="41.4" customHeight="1" s="23">
      <c r="B98" s="17" t="inlineStr">
        <is>
          <t xml:space="preserve">CE15F1 [5] - </t>
        </is>
      </c>
      <c r="C98" s="18" t="inlineStr">
        <is>
          <t xml:space="preserve"> Glaf din tabla zincata de 0,5mm grosime cu latimea intre 50-70 cm confectionat si montat pentru protectia calcanului la partea superioara
</t>
        </is>
      </c>
      <c r="D98" s="13">
        <f>"m"</f>
        <v/>
      </c>
    </row>
    <row r="99" ht="27" customHeight="1" s="23">
      <c r="B99" s="13" t="inlineStr">
        <is>
          <t>NMB012391 [2]</t>
        </is>
      </c>
      <c r="C99" s="13" t="inlineStr">
        <is>
          <t xml:space="preserve">Spor manopera - pentru lucrari de termoizolare pereti exteriori cu alpinisti utilitari </t>
        </is>
      </c>
      <c r="F99" s="261" t="inlineStr">
        <is>
          <t xml:space="preserve">alpinisti utilitari - devizul de izolare perete ext </t>
        </is>
      </c>
    </row>
    <row r="100" ht="54" customHeight="1" s="23">
      <c r="B100" s="19">
        <f>"IZF35D+ [3]"</f>
        <v/>
      </c>
      <c r="C100" s="19">
        <f>"Sistem termoizolant pentru elemente de fatada realizat cu vata minerala bazaltica de 3 cm grosime (agrementat in Romania, cu o durabilitate garantata de min 10 ani) pentru zona spaletilor, strat finisaj exterior realizat cu tencuiala decorativa"</f>
        <v/>
      </c>
      <c r="D100" s="19">
        <f>"mp"</f>
        <v/>
      </c>
      <c r="E100" s="20" t="n"/>
      <c r="F100" s="20" t="inlineStr">
        <is>
          <t xml:space="preserve">VM - Spaletii </t>
        </is>
      </c>
      <c r="G100" s="260" t="inlineStr">
        <is>
          <t>izolare pereti ext</t>
        </is>
      </c>
    </row>
    <row r="101" ht="54" customHeight="1" s="23">
      <c r="B101" s="19">
        <f>"IZF35D+ [26]"</f>
        <v/>
      </c>
      <c r="C101" s="19">
        <f>"Sistem termoizolant pentru elemente de fatada realizat cu vata minerala bazaltica de 3 cm grosime (agrementat in Romania, cu o durabilitate garantata de min 10 ani) pentru zona spaletilor, strat final mortar adeziv flexibil pentru spacluire"</f>
        <v/>
      </c>
      <c r="D101" s="19">
        <f>"mp"</f>
        <v/>
      </c>
      <c r="E101" s="20" t="n"/>
      <c r="F101" s="20" t="inlineStr">
        <is>
          <t xml:space="preserve">VM - glaf </t>
        </is>
      </c>
    </row>
    <row r="102" ht="54" customHeight="1" s="23">
      <c r="B102" s="19">
        <f>"IZF34B+ [2]"</f>
        <v/>
      </c>
      <c r="C102" s="19">
        <f>"Sistem termoizolant pentru elemente de soclu si pereti de subsol realizat cu polistiren extrudat de 5 cm (agrem. in Romania, durabilitate garantata de min 10 ani ), la partea supraterana a soclului, strat finisaj tencuiala mozaicata pentru soclu."</f>
        <v/>
      </c>
      <c r="D102" s="19">
        <f>"mp"</f>
        <v/>
      </c>
      <c r="E102" s="20" t="n"/>
      <c r="F102" s="20" t="inlineStr">
        <is>
          <t>soclu 5 cm</t>
        </is>
      </c>
    </row>
    <row r="103" ht="40.5" customHeight="1" s="23">
      <c r="B103" s="19">
        <f>"IZF33A+ [5]"</f>
        <v/>
      </c>
      <c r="C103" s="19">
        <f>"Montare profile de protectie a stratului  termoizolant aferent sistemului  de izolare termica ... Profil metalic pentru soclu latime 10cm"</f>
        <v/>
      </c>
      <c r="D103" s="19">
        <f>"ml"</f>
        <v/>
      </c>
      <c r="E103" s="20" t="n"/>
      <c r="F103" s="20" t="inlineStr">
        <is>
          <t xml:space="preserve">cand peretii se izoleaza cu 10 punem profilul cat grosimea le perete </t>
        </is>
      </c>
    </row>
  </sheetData>
  <mergeCells count="2">
    <mergeCell ref="G100:G103"/>
    <mergeCell ref="F97:F98"/>
  </mergeCells>
  <pageMargins left="0.7" right="0.7" top="0.75" bottom="0.75" header="0.511811023622047" footer="0.511811023622047"/>
  <pageSetup orientation="portrait" paperSize="9" horizontalDpi="300" verticalDpi="300"/>
</worksheet>
</file>

<file path=xl/worksheets/sheet2.xml><?xml version="1.0" encoding="utf-8"?>
<worksheet xmlns="http://schemas.openxmlformats.org/spreadsheetml/2006/main">
  <sheetPr>
    <outlinePr summaryBelow="1" summaryRight="1"/>
    <pageSetUpPr/>
  </sheetPr>
  <dimension ref="A1:E61"/>
  <sheetViews>
    <sheetView zoomScaleNormal="100" workbookViewId="0">
      <pane xSplit="1" ySplit="1" topLeftCell="B23" activePane="bottomRight" state="frozen"/>
      <selection pane="topRight" activeCell="B1" sqref="B1"/>
      <selection pane="bottomLeft" activeCell="A23" sqref="A23"/>
      <selection pane="bottomRight" activeCell="C38" sqref="C38"/>
    </sheetView>
  </sheetViews>
  <sheetFormatPr baseColWidth="8" defaultColWidth="8.88671875" defaultRowHeight="14.4"/>
  <cols>
    <col width="3.88671875" customWidth="1" style="263" min="1" max="2"/>
    <col width="75.88671875" customWidth="1" style="263" min="3" max="3"/>
    <col width="10.88671875" customWidth="1" style="263" min="4" max="4"/>
    <col width="3.88671875" customWidth="1" style="263" min="5" max="5"/>
    <col width="8.88671875" customWidth="1" style="263" min="6" max="257"/>
  </cols>
  <sheetData>
    <row r="1" ht="75" customHeight="1" s="23">
      <c r="A1" s="97">
        <f>"NrCrt"</f>
        <v/>
      </c>
      <c r="B1" s="97">
        <f>"Tip"</f>
        <v/>
      </c>
      <c r="C1" s="97" t="inlineStr">
        <is>
          <t>Denumire</t>
        </is>
      </c>
      <c r="D1" s="97">
        <f>"Foaie"</f>
        <v/>
      </c>
      <c r="E1" s="97">
        <f>"NrCrt Parinte"</f>
        <v/>
      </c>
    </row>
    <row r="2" ht="30" customHeight="1" s="23">
      <c r="A2" s="97">
        <f>"2"</f>
        <v/>
      </c>
      <c r="B2" s="97">
        <f>"I"</f>
        <v/>
      </c>
      <c r="C2" s="97" t="inlineStr">
        <is>
          <t>[0004]-Nasaud 29.07.2022 - Sablon Operatiunea A3 - Renovarea energetica moderasa sau aprofundata a cladirilor rezidentiale multifamiliale</t>
        </is>
      </c>
      <c r="D2" s="97" t="n"/>
      <c r="E2" s="97" t="n"/>
    </row>
    <row r="3" ht="15" customHeight="1" s="23">
      <c r="A3" s="97">
        <f>"3"</f>
        <v/>
      </c>
      <c r="B3" s="97">
        <f>"O"</f>
        <v/>
      </c>
      <c r="C3" s="21" t="inlineStr">
        <is>
          <t xml:space="preserve">    [1]-Asigurare utilitati</t>
        </is>
      </c>
      <c r="D3" s="97" t="n"/>
      <c r="E3" s="97">
        <f>"2"</f>
        <v/>
      </c>
    </row>
    <row r="4" ht="15" customHeight="1" s="23">
      <c r="A4" s="97">
        <f>"4"</f>
        <v/>
      </c>
      <c r="B4" s="97">
        <f>"D"</f>
        <v/>
      </c>
      <c r="C4" s="97" t="inlineStr">
        <is>
          <t xml:space="preserve">        [1.1]-Racorduri pentru statia de incarcare masini electrice</t>
        </is>
      </c>
      <c r="D4" s="97">
        <f>"D_001"</f>
        <v/>
      </c>
      <c r="E4" s="97">
        <f>"3"</f>
        <v/>
      </c>
    </row>
    <row r="5" ht="15" customHeight="1" s="23">
      <c r="A5" s="97">
        <f>"5"</f>
        <v/>
      </c>
      <c r="B5" s="97">
        <f>"O"</f>
        <v/>
      </c>
      <c r="C5" s="21" t="inlineStr">
        <is>
          <t xml:space="preserve">    [2]-Reabilitare termica a elementelor de anvelopa a cladirii</t>
        </is>
      </c>
      <c r="D5" s="97" t="n"/>
      <c r="E5" s="97">
        <f>"2"</f>
        <v/>
      </c>
    </row>
    <row r="6" ht="15" customHeight="1" s="23">
      <c r="A6" s="97">
        <f>"6"</f>
        <v/>
      </c>
      <c r="B6" s="97">
        <f>"D"</f>
        <v/>
      </c>
      <c r="C6" s="97" t="inlineStr">
        <is>
          <t xml:space="preserve">        [2.1]-Inlocuirea tamplariei exterioare existente - spatii comune</t>
        </is>
      </c>
      <c r="D6" s="97">
        <f>"D_002"</f>
        <v/>
      </c>
      <c r="E6" s="97">
        <f>"5"</f>
        <v/>
      </c>
    </row>
    <row r="7" ht="15" customHeight="1" s="23">
      <c r="A7" s="97">
        <f>"7"</f>
        <v/>
      </c>
      <c r="B7" s="97">
        <f>"D"</f>
        <v/>
      </c>
      <c r="C7" s="97" t="inlineStr">
        <is>
          <t xml:space="preserve">        [2.2]-Inlocuirea tamplariei interioare catre spatii neincalzite - spatii comune</t>
        </is>
      </c>
      <c r="D7" s="97">
        <f>"D_003"</f>
        <v/>
      </c>
      <c r="E7" s="97">
        <f>"5"</f>
        <v/>
      </c>
    </row>
    <row r="8" ht="15" customHeight="1" s="23">
      <c r="A8" s="97">
        <f>"8"</f>
        <v/>
      </c>
      <c r="B8" s="97">
        <f>"D"</f>
        <v/>
      </c>
      <c r="C8" s="97" t="inlineStr">
        <is>
          <t xml:space="preserve">        [2.3]-Inlocuirea tamplariei exterioare existente - spatii individuale</t>
        </is>
      </c>
      <c r="D8" s="97">
        <f>"D_004"</f>
        <v/>
      </c>
      <c r="E8" s="97">
        <f>"5"</f>
        <v/>
      </c>
    </row>
    <row r="9" ht="30" customHeight="1" s="23">
      <c r="A9" s="97">
        <f>"9"</f>
        <v/>
      </c>
      <c r="B9" s="97">
        <f>"D"</f>
        <v/>
      </c>
      <c r="C9" s="97" t="inlineStr">
        <is>
          <t xml:space="preserve">        [2.4]-Inlocuirea tamplariei exterioare existente - spatii individuale cu alte destinatii diverse</t>
        </is>
      </c>
      <c r="D9" s="97">
        <f>"D_005"</f>
        <v/>
      </c>
      <c r="E9" s="97">
        <f>"5"</f>
        <v/>
      </c>
    </row>
    <row r="10" ht="15" customHeight="1" s="23">
      <c r="A10" s="97">
        <f>"10"</f>
        <v/>
      </c>
      <c r="B10" s="97">
        <f>"D"</f>
        <v/>
      </c>
      <c r="C10" s="97" t="inlineStr">
        <is>
          <t xml:space="preserve">        [2.5]-Izolarea termica a peretilor exteriori</t>
        </is>
      </c>
      <c r="D10" s="97">
        <f>"D_006"</f>
        <v/>
      </c>
      <c r="E10" s="97">
        <f>"5"</f>
        <v/>
      </c>
    </row>
    <row r="11" ht="15" customHeight="1" s="23">
      <c r="A11" s="97">
        <f>"11"</f>
        <v/>
      </c>
      <c r="B11" s="97">
        <f>"D"</f>
        <v/>
      </c>
      <c r="C11" s="97" t="inlineStr">
        <is>
          <t xml:space="preserve">        [2.6]-Termohidroizolarea planseului peste ultimul nivel pe terasa</t>
        </is>
      </c>
      <c r="D11" s="97">
        <f>"D_007"</f>
        <v/>
      </c>
      <c r="E11" s="97">
        <f>"5"</f>
        <v/>
      </c>
    </row>
    <row r="12" ht="15" customHeight="1" s="23">
      <c r="A12" s="97">
        <f>"12"</f>
        <v/>
      </c>
      <c r="B12" s="97">
        <f>"D"</f>
        <v/>
      </c>
      <c r="C12" s="97" t="inlineStr">
        <is>
          <t xml:space="preserve">        [2.7]-Termoizolarea planseului peste ultimul nivel in pod</t>
        </is>
      </c>
      <c r="D12" s="97">
        <f>"D_008"</f>
        <v/>
      </c>
      <c r="E12" s="97">
        <f>"5"</f>
        <v/>
      </c>
    </row>
    <row r="13" ht="15" customHeight="1" s="23">
      <c r="A13" s="97">
        <f>"13"</f>
        <v/>
      </c>
      <c r="B13" s="97">
        <f>"D"</f>
        <v/>
      </c>
      <c r="C13" s="97" t="inlineStr">
        <is>
          <t xml:space="preserve">        [2.8]-Inlocuirea invelitorii</t>
        </is>
      </c>
      <c r="D13" s="97">
        <f>"D_009"</f>
        <v/>
      </c>
      <c r="E13" s="97">
        <f>"5"</f>
        <v/>
      </c>
    </row>
    <row r="14" ht="15" customHeight="1" s="23">
      <c r="A14" s="97">
        <f>"14"</f>
        <v/>
      </c>
      <c r="B14" s="97">
        <f>"D"</f>
        <v/>
      </c>
      <c r="C14" s="97" t="inlineStr">
        <is>
          <t xml:space="preserve">        [2.9]-Inchiderea balcoanelor/logiilor - tamplarie si parapet</t>
        </is>
      </c>
      <c r="D14" s="97">
        <f>"D_010"</f>
        <v/>
      </c>
      <c r="E14" s="97">
        <f>"5"</f>
        <v/>
      </c>
    </row>
    <row r="15" ht="15" customHeight="1" s="23">
      <c r="A15" s="97">
        <f>"15"</f>
        <v/>
      </c>
      <c r="B15" s="97">
        <f>"D"</f>
        <v/>
      </c>
      <c r="C15" s="97" t="inlineStr">
        <is>
          <t xml:space="preserve">        [2.10]-Izolarea termica a planseului peste subsol</t>
        </is>
      </c>
      <c r="D15" s="97">
        <f>"D_011"</f>
        <v/>
      </c>
      <c r="E15" s="97">
        <f>"5"</f>
        <v/>
      </c>
    </row>
    <row r="16" ht="15" customHeight="1" s="23">
      <c r="A16" s="97">
        <f>"16"</f>
        <v/>
      </c>
      <c r="B16" s="97">
        <f>"D"</f>
        <v/>
      </c>
      <c r="C16" s="97" t="inlineStr">
        <is>
          <t xml:space="preserve">        [2.11]-Izolarea termica a peretilor catre spatii comune neincalzite</t>
        </is>
      </c>
      <c r="D16" s="97">
        <f>"D_012"</f>
        <v/>
      </c>
      <c r="E16" s="97">
        <f>"5"</f>
        <v/>
      </c>
    </row>
    <row r="17" ht="15" customHeight="1" s="23">
      <c r="A17" s="97">
        <f>"17"</f>
        <v/>
      </c>
      <c r="B17" s="97">
        <f>"O"</f>
        <v/>
      </c>
      <c r="C17" s="21" t="inlineStr">
        <is>
          <t xml:space="preserve">    [3]-Instalare/reabilitare/ modernizare sisteme climatizare/ventilare</t>
        </is>
      </c>
      <c r="D17" s="97" t="n"/>
      <c r="E17" s="97">
        <f>"2"</f>
        <v/>
      </c>
    </row>
    <row r="18" ht="15" customHeight="1" s="23">
      <c r="A18" s="97">
        <f>"18"</f>
        <v/>
      </c>
      <c r="B18" s="97">
        <f>"D"</f>
        <v/>
      </c>
      <c r="C18" s="97" t="inlineStr">
        <is>
          <t xml:space="preserve">        [3.1]-Ventilare naturala sau mecanica prin dispozitive, fante, grile aerisire</t>
        </is>
      </c>
      <c r="D18" s="97">
        <f>"D_013"</f>
        <v/>
      </c>
      <c r="E18" s="97">
        <f>"17"</f>
        <v/>
      </c>
    </row>
    <row r="19" ht="15" customHeight="1" s="23">
      <c r="A19" s="97">
        <f>"19"</f>
        <v/>
      </c>
      <c r="B19" s="97">
        <f>"O"</f>
        <v/>
      </c>
      <c r="C19" s="21" t="inlineStr">
        <is>
          <t xml:space="preserve">    [4]-Reabilitare/modernizare a a instalatiilor de iluminat in cladiri</t>
        </is>
      </c>
      <c r="D19" s="97" t="n"/>
      <c r="E19" s="97">
        <f>"2"</f>
        <v/>
      </c>
    </row>
    <row r="20" ht="15" customHeight="1" s="23">
      <c r="A20" s="97">
        <f>"20"</f>
        <v/>
      </c>
      <c r="B20" s="97">
        <f>"D"</f>
        <v/>
      </c>
      <c r="C20" s="97" t="inlineStr">
        <is>
          <t xml:space="preserve">        [4.1]-Inlocuirea instalatiei de iluminat la spatiile comune</t>
        </is>
      </c>
      <c r="D20" s="97">
        <f>"D_014"</f>
        <v/>
      </c>
      <c r="E20" s="97">
        <f>"19"</f>
        <v/>
      </c>
    </row>
    <row r="21" ht="15" customHeight="1" s="23">
      <c r="A21" s="97">
        <f>"21"</f>
        <v/>
      </c>
      <c r="B21" s="97">
        <f>"D"</f>
        <v/>
      </c>
      <c r="C21" s="97" t="inlineStr">
        <is>
          <t xml:space="preserve">        [4.2]-Instalarea de corpuri de iluminat</t>
        </is>
      </c>
      <c r="D21" s="97">
        <f>"D_015"</f>
        <v/>
      </c>
      <c r="E21" s="97">
        <f>"19"</f>
        <v/>
      </c>
    </row>
    <row r="22" ht="15" customHeight="1" s="23">
      <c r="A22" s="97">
        <f>"22"</f>
        <v/>
      </c>
      <c r="B22" s="97">
        <f>"O"</f>
        <v/>
      </c>
      <c r="C22" s="21" t="inlineStr">
        <is>
          <t xml:space="preserve">    [5]-Sisteme alternative de producere a energiei electrice</t>
        </is>
      </c>
      <c r="D22" s="97" t="n"/>
      <c r="E22" s="97">
        <f>"2"</f>
        <v/>
      </c>
    </row>
    <row r="23" ht="15" customHeight="1" s="23">
      <c r="A23" s="97">
        <f>"23"</f>
        <v/>
      </c>
      <c r="B23" s="97">
        <f>"D"</f>
        <v/>
      </c>
      <c r="C23" s="97" t="inlineStr">
        <is>
          <t xml:space="preserve">        [5.1]-Instalatie electrica panouri fotovoltaice</t>
        </is>
      </c>
      <c r="D23" s="97">
        <f>"D_016"</f>
        <v/>
      </c>
      <c r="E23" s="97">
        <f>"22"</f>
        <v/>
      </c>
    </row>
    <row r="24" ht="15" customHeight="1" s="23">
      <c r="A24" s="97">
        <f>"24"</f>
        <v/>
      </c>
      <c r="B24" s="97">
        <f>"D"</f>
        <v/>
      </c>
      <c r="C24" s="97" t="inlineStr">
        <is>
          <t xml:space="preserve">        [5.2]-Montaj echipamente - sistem fotovoltaic</t>
        </is>
      </c>
      <c r="D24" s="97">
        <f>"D_017"</f>
        <v/>
      </c>
      <c r="E24" s="97">
        <f>"22"</f>
        <v/>
      </c>
    </row>
    <row r="25" ht="15" customHeight="1" s="23">
      <c r="A25" s="97">
        <f>"25"</f>
        <v/>
      </c>
      <c r="B25" s="97">
        <f>"O"</f>
        <v/>
      </c>
      <c r="C25" s="21" t="inlineStr">
        <is>
          <t xml:space="preserve">    [6]-Echiparea cladirilor cu statii de incarcare pentru masini electrice</t>
        </is>
      </c>
      <c r="D25" s="97" t="n"/>
      <c r="E25" s="97">
        <f>"2"</f>
        <v/>
      </c>
    </row>
    <row r="26" ht="15" customHeight="1" s="23">
      <c r="A26" s="97">
        <f>"26"</f>
        <v/>
      </c>
      <c r="B26" s="97">
        <f>"D"</f>
        <v/>
      </c>
      <c r="C26" s="97" t="inlineStr">
        <is>
          <t xml:space="preserve">        [6.1]-Pregatire puncte de reîncarcare pentru vehicule electrice</t>
        </is>
      </c>
      <c r="D26" s="97">
        <f>"D_018"</f>
        <v/>
      </c>
      <c r="E26" s="97">
        <f>"25"</f>
        <v/>
      </c>
    </row>
    <row r="27" ht="15" customHeight="1" s="23">
      <c r="A27" s="97">
        <f>"27"</f>
        <v/>
      </c>
      <c r="B27" s="97">
        <f>"D"</f>
        <v/>
      </c>
      <c r="C27" s="97" t="inlineStr">
        <is>
          <t xml:space="preserve">        [6.2]-Amenajare statie de incarcare masini electrice</t>
        </is>
      </c>
      <c r="D27" s="97">
        <f>"D_019"</f>
        <v/>
      </c>
      <c r="E27" s="97">
        <f>"25"</f>
        <v/>
      </c>
    </row>
    <row r="28" ht="15" customHeight="1" s="23">
      <c r="A28" s="97">
        <f>"28"</f>
        <v/>
      </c>
      <c r="B28" s="97">
        <f>"D"</f>
        <v/>
      </c>
      <c r="C28" s="97" t="inlineStr">
        <is>
          <t xml:space="preserve">        [6.3]-Montaj utilaj - statie de incarcare masini electrice</t>
        </is>
      </c>
      <c r="D28" s="97">
        <f>"D_020"</f>
        <v/>
      </c>
      <c r="E28" s="97">
        <f>"25"</f>
        <v/>
      </c>
    </row>
    <row r="29" ht="15" customHeight="1" s="23">
      <c r="A29" s="97">
        <f>"29"</f>
        <v/>
      </c>
      <c r="B29" s="97">
        <f>"O"</f>
        <v/>
      </c>
      <c r="C29" s="21" t="inlineStr">
        <is>
          <t xml:space="preserve">    [7]-Alte tipuri de lucrari</t>
        </is>
      </c>
      <c r="D29" s="97" t="n"/>
      <c r="E29" s="97">
        <f>"2"</f>
        <v/>
      </c>
    </row>
    <row r="30" ht="15" customHeight="1" s="23">
      <c r="A30" s="97">
        <f>"30"</f>
        <v/>
      </c>
      <c r="B30" s="97">
        <f>"D"</f>
        <v/>
      </c>
      <c r="C30" s="97" t="inlineStr">
        <is>
          <t xml:space="preserve">        [7.1]-Repararea trotuarelor de protectie</t>
        </is>
      </c>
      <c r="D30" s="97">
        <f>"D_021"</f>
        <v/>
      </c>
      <c r="E30" s="97">
        <f>"29"</f>
        <v/>
      </c>
    </row>
    <row r="31" ht="30" customHeight="1" s="23">
      <c r="A31" s="97">
        <f>"31"</f>
        <v/>
      </c>
      <c r="B31" s="97">
        <f>"D"</f>
        <v/>
      </c>
      <c r="C31" s="97" t="inlineStr">
        <is>
          <t xml:space="preserve">        [7.2]-Repararea acoperisului tip terasa/sarpanta inclusiv inlocuirea sistemului de colectare/evacuare a apelor meteorice</t>
        </is>
      </c>
      <c r="D31" s="97">
        <f>"D_022"</f>
        <v/>
      </c>
      <c r="E31" s="97">
        <f>"29"</f>
        <v/>
      </c>
    </row>
    <row r="32" ht="15" customHeight="1" s="23">
      <c r="A32" s="97">
        <f>"32"</f>
        <v/>
      </c>
      <c r="B32" s="97">
        <f>"D"</f>
        <v/>
      </c>
      <c r="C32" s="97" t="inlineStr">
        <is>
          <t xml:space="preserve">        [7.3]-Construirea acoperisului tip sarpanta cu invelitoare tigla metalica</t>
        </is>
      </c>
      <c r="D32" s="97">
        <f>"D_023"</f>
        <v/>
      </c>
      <c r="E32" s="97">
        <f>"29"</f>
        <v/>
      </c>
    </row>
    <row r="33" ht="30" customHeight="1" s="23">
      <c r="A33" s="97">
        <f>"33"</f>
        <v/>
      </c>
      <c r="B33" s="97">
        <f>"D"</f>
        <v/>
      </c>
      <c r="C33" s="97" t="inlineStr">
        <is>
          <t xml:space="preserve">        [7.4]-Demontarea si remontarea instalatiilor si echipamentelor de pe fatada si terasa</t>
        </is>
      </c>
      <c r="D33" s="97">
        <f>"D_024"</f>
        <v/>
      </c>
      <c r="E33" s="97">
        <f>"29"</f>
        <v/>
      </c>
    </row>
    <row r="34" ht="30" customHeight="1" s="23">
      <c r="A34" s="97">
        <f>"34"</f>
        <v/>
      </c>
      <c r="B34" s="97">
        <f>"D"</f>
        <v/>
      </c>
      <c r="C34" s="97" t="inlineStr">
        <is>
          <t xml:space="preserve">        [7.5]-Repararea elementelor de constructii care prezinta pericol de desprindere sau afecteaza functionalitatea cladirii</t>
        </is>
      </c>
      <c r="D34" s="97">
        <f>"D_025"</f>
        <v/>
      </c>
      <c r="E34" s="97">
        <f>"29"</f>
        <v/>
      </c>
    </row>
    <row r="35" ht="30" customHeight="1" s="23">
      <c r="A35" s="97">
        <f>"35"</f>
        <v/>
      </c>
      <c r="B35" s="97">
        <f>"D"</f>
        <v/>
      </c>
      <c r="C35" s="97" t="inlineStr">
        <is>
          <t xml:space="preserve">        [7.6]-Refacerea finisajelor interioare in zonele de interventie - la spatii comune</t>
        </is>
      </c>
      <c r="D35" s="97">
        <f>"D_026"</f>
        <v/>
      </c>
      <c r="E35" s="97">
        <f>"29"</f>
        <v/>
      </c>
    </row>
    <row r="36" ht="30" customHeight="1" s="23">
      <c r="A36" s="97">
        <f>"36"</f>
        <v/>
      </c>
      <c r="B36" s="97">
        <f>"D"</f>
        <v/>
      </c>
      <c r="C36" s="97" t="inlineStr">
        <is>
          <t xml:space="preserve">        [7.7]-Refacerea finisajelor interioare in zonele de interventie - la spatii individuale</t>
        </is>
      </c>
      <c r="D36" s="97">
        <f>"D_027"</f>
        <v/>
      </c>
      <c r="E36" s="97">
        <f>"29"</f>
        <v/>
      </c>
    </row>
    <row r="37" ht="30" customHeight="1" s="23">
      <c r="A37" s="97">
        <f>"37"</f>
        <v/>
      </c>
      <c r="B37" s="97">
        <f>"D"</f>
        <v/>
      </c>
      <c r="C37" s="97" t="inlineStr">
        <is>
          <t xml:space="preserve">        [7.8]-Refacerea finisajelor interioare in zonele de interventie - la spatii individuale cu destinatii diverse</t>
        </is>
      </c>
      <c r="D37" s="97">
        <f>"D_028"</f>
        <v/>
      </c>
      <c r="E37" s="97">
        <f>"29"</f>
        <v/>
      </c>
    </row>
    <row r="38" ht="15" customHeight="1" s="23">
      <c r="A38" s="97">
        <f>"38"</f>
        <v/>
      </c>
      <c r="B38" s="97">
        <f>"D"</f>
        <v/>
      </c>
      <c r="C38" s="97" t="inlineStr">
        <is>
          <t xml:space="preserve">        [7.9]-Instalatia de paratraznet si priza de pamant</t>
        </is>
      </c>
      <c r="D38" s="97">
        <f>"D_029"</f>
        <v/>
      </c>
      <c r="E38" s="97">
        <f>"29"</f>
        <v/>
      </c>
    </row>
    <row r="39" ht="15" customHeight="1" s="23">
      <c r="A39" s="97">
        <f>"39"</f>
        <v/>
      </c>
      <c r="B39" s="97">
        <f>"D"</f>
        <v/>
      </c>
      <c r="C39" s="97" t="inlineStr">
        <is>
          <t xml:space="preserve">        [7.10]-Montaj utilaj PDA</t>
        </is>
      </c>
      <c r="D39" s="97">
        <f>"D_030"</f>
        <v/>
      </c>
      <c r="E39" s="97">
        <f>"29"</f>
        <v/>
      </c>
    </row>
    <row r="40" ht="15" customHeight="1" s="23">
      <c r="A40" s="97">
        <f>"40"</f>
        <v/>
      </c>
      <c r="B40" s="97">
        <f>"O"</f>
        <v/>
      </c>
      <c r="C40" s="21" t="inlineStr">
        <is>
          <t xml:space="preserve">    [8]-Organizare de santier</t>
        </is>
      </c>
      <c r="D40" s="97" t="n"/>
      <c r="E40" s="97">
        <f>"2"</f>
        <v/>
      </c>
    </row>
    <row r="41" ht="15" customHeight="1" s="23">
      <c r="A41" s="97">
        <f>"41"</f>
        <v/>
      </c>
      <c r="B41" s="97">
        <f>"D"</f>
        <v/>
      </c>
      <c r="C41" s="97" t="inlineStr">
        <is>
          <t xml:space="preserve">        [8.1]-Organizare de santier - lucrari de constructii</t>
        </is>
      </c>
      <c r="D41" s="97">
        <f>"D_031"</f>
        <v/>
      </c>
      <c r="E41" s="97">
        <f>"40"</f>
        <v/>
      </c>
    </row>
    <row r="45" ht="15" customHeight="1" s="23">
      <c r="C45" s="263" t="inlineStr">
        <is>
          <t>Obs</t>
        </is>
      </c>
    </row>
    <row r="46" ht="15" customHeight="1" s="23">
      <c r="B46" s="263" t="n">
        <v>1</v>
      </c>
      <c r="C46" s="22" t="inlineStr">
        <is>
          <t>Campurile verzi se calculeaza in particular ptr fiecare bloc</t>
        </is>
      </c>
    </row>
    <row r="47" ht="75" customHeight="1" s="23">
      <c r="B47" s="263" t="n">
        <v>2</v>
      </c>
      <c r="C47" s="263" t="inlineStr">
        <is>
          <t>Referitor la Izolarea planseului peste ultimul nivel unele cantitati sunt calculate automat atat in Sheetul de terasa cat si in cel de pod. Acestea se vor adapta in functie de solutia de la fiecare bloc (docs) astfel incat sa ramana doar cantitatile care trebuiesc prinse in devize. (actualizam casuta 1 din fiecare deviz in functie de lucrarea necesara - explicatiile sunt in dreapta)</t>
        </is>
      </c>
    </row>
    <row r="48" ht="45" customHeight="1" s="23">
      <c r="B48" s="263" t="n">
        <v>3</v>
      </c>
      <c r="C48" s="22" t="inlineStr">
        <is>
          <t>In cazul termoizolarii planseului de la ultmul nivel in pod - se vf daca e VM sau Polistiren, si straturile propuse - in sablon sunt prinse  2 solutii(placi osb pe grinzi si sapa cu straturile aferente ), alegem solutia de pe docs iar cealalta o notam cu 0.</t>
        </is>
      </c>
    </row>
    <row r="49" ht="75" customHeight="1" s="23">
      <c r="B49" s="263" t="n">
        <v>4</v>
      </c>
      <c r="C49" s="263" t="inlineStr">
        <is>
          <t xml:space="preserve">In cazul termoizolatiilor , se verifica in prealabil solutile din sablon cu cele de pe docs, daca solutile de pe docs sunt diferite fata de sablon (de ex : la terasa in sablon se izoleaza cu VM iar blocul se izoleaza cu polistiren se inlcouiesc normele respective cu cele din shetul norme) sau se cer la Mircea norme care nu se regasec. </t>
        </is>
      </c>
    </row>
    <row r="50" ht="30" customHeight="1" s="23">
      <c r="B50" s="263" t="n">
        <v>5</v>
      </c>
      <c r="C50" s="263" t="inlineStr">
        <is>
          <t>In cazul invelitoarei se alege tipul de desfacere si montrea invelitoarei (de pe docs) la fiecare bloc . Restlul invelitoarelor vor fi cu 0.</t>
        </is>
      </c>
    </row>
    <row r="51" ht="45" customHeight="1" s="23">
      <c r="B51" s="263" t="n">
        <v>6</v>
      </c>
      <c r="C51" s="263" t="inlineStr">
        <is>
          <t>In cazul sarpanetei inainte de parcurgerea devizelor se stabilieste lucrarea necesara : inlocuirea invelitoarei , repare sau construire.Cantitati vor fi doar in cazul lucrarilor necesare restul devizelor vor fi cu 0.</t>
        </is>
      </c>
    </row>
    <row r="52" ht="30" customHeight="1" s="23">
      <c r="B52" s="263" t="n">
        <v>7</v>
      </c>
      <c r="C52" s="263" t="inlineStr">
        <is>
          <t>In cazul corpurilor de iluminat  se vf plansele de instalatii pt a vedea cate s-au prins in proiect de catre Serban. De stabilit daca calculam cabluriile la sist fotovoltaic</t>
        </is>
      </c>
    </row>
    <row r="53" ht="15" customHeight="1" s="23">
      <c r="C53" s="285" t="n"/>
    </row>
    <row r="59" ht="15" customHeight="1" s="23">
      <c r="C59" s="263" t="inlineStr">
        <is>
          <t>Metodologie de calcul</t>
        </is>
      </c>
    </row>
    <row r="60" ht="15" customHeight="1" s="23">
      <c r="B60" s="263" t="n">
        <v>1</v>
      </c>
      <c r="C60" s="263" t="inlineStr">
        <is>
          <t>Glafurile interioare se inlocuiesc la spatiile individuale care</t>
        </is>
      </c>
    </row>
    <row r="61" ht="15" customHeight="1" s="23">
      <c r="B61" s="263" t="n">
        <v>2</v>
      </c>
      <c r="C61" s="263" t="inlineStr">
        <is>
          <t>Kiturile de ct- numai in cazul in care avem la bloc gaz nu apar</t>
        </is>
      </c>
    </row>
  </sheetData>
  <pageMargins left="0.7" right="0.7" top="0.75" bottom="0.75" header="0.511811023622047" footer="0.511811023622047"/>
  <pageSetup orientation="portrait" paperSize="9" horizontalDpi="300" verticalDpi="300"/>
</worksheet>
</file>

<file path=xl/worksheets/sheet3.xml><?xml version="1.0" encoding="utf-8"?>
<worksheet xmlns="http://schemas.openxmlformats.org/spreadsheetml/2006/main">
  <sheetPr>
    <outlinePr summaryBelow="1" summaryRight="1"/>
    <pageSetUpPr fitToPage="1"/>
  </sheetPr>
  <dimension ref="A1:V96"/>
  <sheetViews>
    <sheetView tabSelected="1" zoomScaleNormal="100" workbookViewId="0">
      <pane xSplit="2" ySplit="2" topLeftCell="C78" activePane="bottomRight" state="frozen"/>
      <selection pane="topRight" activeCell="A1" sqref="A1"/>
      <selection pane="bottomLeft" activeCell="A1" sqref="A1"/>
      <selection pane="bottomRight" activeCell="C86" sqref="C86"/>
    </sheetView>
  </sheetViews>
  <sheetFormatPr baseColWidth="8" defaultColWidth="9" defaultRowHeight="14.4"/>
  <cols>
    <col width="91" customWidth="1" style="23" min="1" max="1"/>
    <col width="11.6640625" customWidth="1" style="23" min="2" max="2"/>
    <col width="133.5546875" customWidth="1" style="23" min="3" max="3"/>
    <col width="21.44140625" customWidth="1" style="23" min="4" max="4"/>
    <col width="17.109375" customWidth="1" style="23" min="5" max="5"/>
    <col width="10.5546875" customWidth="1" style="23" min="6" max="6"/>
    <col width="18.5546875" customWidth="1" style="23" min="7" max="7"/>
    <col width="11" customWidth="1" style="23" min="9" max="9"/>
    <col width="10.88671875" customWidth="1" style="23" min="10" max="10"/>
    <col width="11.5546875" customWidth="1" style="23" min="11" max="11"/>
    <col width="9.33203125" customWidth="1" style="23" min="13" max="13"/>
  </cols>
  <sheetData>
    <row r="1" ht="15" customHeight="1" s="23">
      <c r="A1" s="24" t="n"/>
      <c r="B1" s="24" t="n"/>
    </row>
    <row r="2" ht="15" customHeight="1" s="23">
      <c r="A2" s="25" t="inlineStr">
        <is>
          <t>Adresa bloc</t>
        </is>
      </c>
      <c r="B2" s="26" t="n"/>
      <c r="C2" s="26" t="n"/>
      <c r="D2" s="26" t="n"/>
      <c r="E2" s="26" t="n"/>
      <c r="F2" s="26" t="n"/>
      <c r="G2" s="26" t="n"/>
      <c r="H2" s="26" t="n"/>
      <c r="I2" s="26" t="n"/>
      <c r="J2" s="26" t="n"/>
      <c r="K2" s="26" t="n"/>
      <c r="L2" s="26" t="n"/>
      <c r="M2" s="26" t="n"/>
      <c r="N2" s="26" t="n"/>
      <c r="O2" s="26" t="n"/>
      <c r="P2" s="26" t="n"/>
      <c r="Q2" s="26" t="n"/>
      <c r="R2" s="26" t="n"/>
      <c r="S2" s="26" t="n"/>
      <c r="T2" s="26" t="n"/>
      <c r="U2" s="26" t="n"/>
      <c r="V2" s="26" t="n"/>
    </row>
    <row r="3" ht="15" customHeight="1" s="23">
      <c r="A3" s="27" t="inlineStr">
        <is>
          <t>Cladire vecina</t>
        </is>
      </c>
      <c r="B3" s="27" t="n">
        <v>88.62</v>
      </c>
      <c r="C3" s="280" t="inlineStr">
        <is>
          <t>SCRIE: CLADIRE VECINA</t>
        </is>
      </c>
      <c r="D3" s="26" t="n"/>
      <c r="E3" s="26" t="n"/>
      <c r="F3" s="26" t="n"/>
      <c r="G3" s="26" t="n"/>
      <c r="H3" s="26" t="n"/>
      <c r="I3" s="26" t="n"/>
      <c r="J3" s="26" t="n"/>
      <c r="K3" s="26" t="n"/>
      <c r="L3" s="26" t="n"/>
      <c r="M3" s="26" t="n"/>
      <c r="N3" s="26" t="n"/>
      <c r="O3" s="26" t="n"/>
      <c r="P3" s="26" t="n"/>
      <c r="Q3" s="26" t="n"/>
      <c r="R3" s="26" t="n"/>
      <c r="S3" s="26" t="n"/>
      <c r="T3" s="26" t="n"/>
      <c r="U3" s="26" t="n"/>
      <c r="V3" s="26" t="n"/>
    </row>
    <row r="4" ht="15" customHeight="1" s="23">
      <c r="A4" s="27" t="inlineStr">
        <is>
          <t>Perimetru parter (fara usi acces in bloc)</t>
        </is>
      </c>
      <c r="B4" s="27" t="n">
        <v>350.84</v>
      </c>
      <c r="C4" t="inlineStr">
        <is>
          <t>CALCULEAZA: PERIMETRU PLAN PARTER - SUMA(LATIME USA SC) - CLADIRE VECINA</t>
        </is>
      </c>
      <c r="D4" s="27" t="n"/>
      <c r="E4" s="27" t="n"/>
      <c r="F4" s="27" t="n"/>
      <c r="G4" s="28" t="n"/>
      <c r="H4" s="27" t="n"/>
      <c r="I4" s="27" t="n"/>
      <c r="J4" s="27" t="n"/>
      <c r="K4" s="27" t="n"/>
      <c r="L4" s="27" t="n"/>
      <c r="M4" s="27" t="n"/>
      <c r="N4" s="27" t="n"/>
      <c r="O4" s="27" t="n"/>
      <c r="P4" s="27" t="n"/>
      <c r="Q4" s="27" t="n"/>
      <c r="R4" s="27" t="n"/>
      <c r="S4" s="27" t="n"/>
      <c r="T4" s="27" t="n"/>
      <c r="U4" s="27" t="n"/>
      <c r="V4" s="27" t="n"/>
    </row>
    <row r="5" ht="15" customHeight="1" s="23">
      <c r="A5" s="27" t="inlineStr">
        <is>
          <t xml:space="preserve">Perimetru parter </t>
        </is>
      </c>
      <c r="B5" s="27" t="n">
        <v>2.65</v>
      </c>
      <c r="C5" s="29" t="inlineStr">
        <is>
          <t>SCRIE: PERIMETRU PLAN PARTER</t>
        </is>
      </c>
      <c r="D5" s="27" t="n"/>
      <c r="E5" s="27" t="n"/>
      <c r="F5" s="27" t="n"/>
      <c r="G5" s="27" t="n"/>
      <c r="H5" s="27" t="n"/>
      <c r="I5" s="27" t="n"/>
      <c r="J5" s="27" t="n"/>
      <c r="K5" s="27" t="n"/>
      <c r="L5" s="27" t="n"/>
      <c r="M5" s="27" t="n"/>
      <c r="N5" s="27" t="n"/>
      <c r="O5" s="27" t="n"/>
      <c r="P5" s="27" t="n"/>
      <c r="Q5" s="27" t="n"/>
      <c r="R5" s="27" t="n"/>
      <c r="S5" s="27" t="n"/>
      <c r="T5" s="27" t="n"/>
      <c r="U5" s="27" t="n"/>
      <c r="V5" s="27" t="n"/>
    </row>
    <row r="6" ht="15" customHeight="1" s="23">
      <c r="A6" s="27" t="inlineStr">
        <is>
          <t>Perimetru etaj</t>
        </is>
      </c>
      <c r="B6" s="27" t="n">
        <v>1754.2</v>
      </c>
      <c r="C6" t="inlineStr">
        <is>
          <t>SCRIE: PERIMETRU PLAN ETAJ CURENT</t>
        </is>
      </c>
      <c r="D6" s="27" t="n"/>
      <c r="E6" s="27" t="n"/>
      <c r="F6" s="27" t="n"/>
      <c r="G6" s="27" t="n"/>
      <c r="H6" s="27" t="n"/>
      <c r="I6" s="27" t="n"/>
      <c r="J6" s="27" t="n"/>
      <c r="K6" s="27" t="n"/>
      <c r="L6" s="27" t="n"/>
      <c r="M6" s="27" t="n"/>
      <c r="N6" s="27" t="n"/>
      <c r="O6" s="27" t="n"/>
      <c r="P6" s="27" t="n"/>
      <c r="Q6" s="27" t="n"/>
      <c r="R6" s="27" t="n"/>
      <c r="S6" s="27" t="n"/>
      <c r="T6" s="27" t="n"/>
      <c r="U6" s="27" t="n"/>
      <c r="V6" s="27" t="n"/>
    </row>
    <row r="7" ht="15" customHeight="1" s="23">
      <c r="A7" s="27" t="inlineStr">
        <is>
          <t xml:space="preserve">Perimetru atic </t>
        </is>
      </c>
      <c r="B7" s="27" t="n">
        <v>1691.33</v>
      </c>
      <c r="C7" t="inlineStr">
        <is>
          <t>SCRIE: PERIMETRU PLAN TERASA</t>
        </is>
      </c>
      <c r="D7" s="27" t="n"/>
      <c r="E7" s="27" t="n"/>
      <c r="F7" s="27" t="n"/>
      <c r="G7" s="27" t="n"/>
      <c r="H7" s="27" t="n"/>
      <c r="I7" s="27" t="n"/>
      <c r="J7" s="27" t="n"/>
      <c r="K7" s="27" t="n"/>
      <c r="L7" s="27" t="n"/>
      <c r="M7" s="27" t="n"/>
      <c r="N7" s="27" t="n"/>
      <c r="O7" s="27" t="n"/>
      <c r="P7" s="27" t="n"/>
      <c r="Q7" s="27" t="n"/>
      <c r="R7" s="27" t="n"/>
      <c r="S7" s="27" t="n"/>
      <c r="T7" s="27" t="n"/>
      <c r="U7" s="27" t="n"/>
      <c r="V7" s="27" t="n"/>
    </row>
    <row r="8" ht="15" customHeight="1" s="23">
      <c r="A8" s="27" t="inlineStr">
        <is>
          <t>Petrimetru invelitoare</t>
        </is>
      </c>
      <c r="B8" s="27" t="n">
        <v>1261.67</v>
      </c>
      <c r="C8" t="inlineStr">
        <is>
          <t>SCRIE: PERIMETRU PLAN INVELITOARE</t>
        </is>
      </c>
      <c r="D8" s="27" t="n"/>
      <c r="E8" s="27" t="n"/>
      <c r="F8" s="27" t="n"/>
      <c r="G8" s="27" t="n"/>
      <c r="H8" s="27" t="n"/>
      <c r="I8" s="27" t="n"/>
      <c r="J8" s="27" t="n"/>
      <c r="K8" s="27" t="n"/>
      <c r="L8" s="27" t="n"/>
      <c r="M8" s="27" t="n"/>
      <c r="N8" s="27" t="n"/>
      <c r="O8" s="27" t="n"/>
      <c r="P8" s="27" t="n"/>
      <c r="Q8" s="27" t="n"/>
      <c r="R8" s="27" t="n"/>
      <c r="S8" s="27" t="n"/>
      <c r="T8" s="27" t="n"/>
      <c r="U8" s="27" t="n"/>
      <c r="V8" s="27" t="n"/>
    </row>
    <row r="9" ht="14.25" customHeight="1" s="23">
      <c r="A9" s="27" t="inlineStr">
        <is>
          <t>Perimetru etaj tehnic</t>
        </is>
      </c>
      <c r="B9" s="27" t="n">
        <v>316.65</v>
      </c>
      <c r="C9" t="inlineStr">
        <is>
          <t>SCRIE: PERIMETRU PLAN ETAJ TEHNIC</t>
        </is>
      </c>
      <c r="D9" s="27" t="n"/>
      <c r="E9" s="27" t="n"/>
      <c r="F9" s="27" t="n"/>
      <c r="G9" s="27" t="n"/>
      <c r="H9" s="27" t="n"/>
      <c r="I9" s="27" t="n"/>
      <c r="J9" s="27" t="n"/>
      <c r="K9" s="27" t="n"/>
      <c r="L9" s="27" t="n"/>
      <c r="M9" s="27" t="n"/>
      <c r="N9" s="27" t="n"/>
      <c r="O9" s="27" t="n"/>
      <c r="P9" s="27" t="n"/>
      <c r="Q9" s="27" t="n"/>
      <c r="R9" s="27" t="n"/>
      <c r="S9" s="27" t="n"/>
      <c r="T9" s="27" t="n"/>
      <c r="U9" s="27" t="n"/>
      <c r="V9" s="27" t="n"/>
    </row>
    <row r="10" ht="15" customHeight="1" s="23">
      <c r="A10" s="30" t="inlineStr">
        <is>
          <t>H parter</t>
        </is>
      </c>
      <c r="B10" s="30" t="n">
        <v>79.76000000000001</v>
      </c>
      <c r="C10" s="31" t="inlineStr">
        <is>
          <t>SCRIE: INALTIME PARTER</t>
        </is>
      </c>
      <c r="D10" s="30" t="n"/>
      <c r="E10" s="30" t="n"/>
      <c r="F10" s="30" t="n"/>
      <c r="G10" s="30" t="n"/>
      <c r="H10" s="30" t="n"/>
      <c r="I10" s="30" t="n"/>
      <c r="J10" s="30" t="n"/>
      <c r="K10" s="30" t="n"/>
      <c r="L10" s="30" t="n"/>
      <c r="M10" s="30" t="n"/>
      <c r="N10" s="30" t="n"/>
      <c r="O10" s="30" t="n"/>
      <c r="P10" s="30" t="n"/>
      <c r="Q10" s="30" t="n"/>
      <c r="R10" s="30" t="n"/>
      <c r="S10" s="30" t="n"/>
      <c r="T10" s="30" t="n"/>
      <c r="U10" s="30" t="n"/>
      <c r="V10" s="30" t="n"/>
    </row>
    <row r="11" ht="15" customHeight="1" s="23">
      <c r="A11" s="30" t="inlineStr">
        <is>
          <t>H cladire de la pardoseala etaj I pana la partea superioara atic</t>
        </is>
      </c>
      <c r="B11" s="30" t="n">
        <v>0</v>
      </c>
      <c r="C11" s="31" t="inlineStr">
        <is>
          <t>SCRIE: H CLAD DE LA E1 PANA LA ATIC EXISTENT</t>
        </is>
      </c>
      <c r="D11" s="30" t="n"/>
      <c r="E11" s="30" t="n"/>
      <c r="F11" s="30" t="n"/>
      <c r="G11" s="30" t="n"/>
      <c r="H11" s="30" t="n"/>
      <c r="I11" s="30" t="n"/>
      <c r="J11" s="30" t="n"/>
      <c r="K11" s="30" t="n"/>
      <c r="L11" s="30" t="n"/>
      <c r="M11" s="30" t="n"/>
      <c r="N11" s="30" t="n"/>
      <c r="O11" s="30" t="n"/>
      <c r="P11" s="30" t="n"/>
      <c r="Q11" s="30" t="n"/>
      <c r="R11" s="30" t="n"/>
      <c r="S11" s="30" t="n"/>
      <c r="T11" s="30" t="n"/>
      <c r="U11" s="30" t="n"/>
      <c r="V11" s="30" t="n"/>
    </row>
    <row r="12" ht="15" customHeight="1" s="23">
      <c r="A12" s="30" t="inlineStr">
        <is>
          <t>Inaltime cladire (de la cota 0.00, pana la cota superioara a aticului dupa suprainaltare)</t>
        </is>
      </c>
      <c r="B12" s="30" t="n">
        <v>0</v>
      </c>
      <c r="C12" s="31" t="inlineStr">
        <is>
          <t>SCRIE: HCLAD DE LA 0.00 PANA LA ATIC SUPRAINALTAT</t>
        </is>
      </c>
      <c r="D12" s="30" t="n"/>
      <c r="E12" s="30" t="n"/>
      <c r="F12" s="30" t="n"/>
      <c r="G12" s="30" t="n"/>
      <c r="H12" s="30" t="n"/>
      <c r="I12" s="30" t="n"/>
      <c r="J12" s="30" t="n"/>
      <c r="K12" s="30" t="n"/>
      <c r="L12" s="30" t="n"/>
      <c r="M12" s="30" t="n"/>
      <c r="N12" s="30" t="n"/>
      <c r="O12" s="30" t="n"/>
      <c r="P12" s="30" t="n"/>
      <c r="Q12" s="30" t="n"/>
      <c r="R12" s="30" t="n"/>
      <c r="S12" s="30" t="n"/>
      <c r="T12" s="30" t="n"/>
      <c r="U12" s="30" t="n"/>
      <c r="V12" s="30" t="n"/>
    </row>
    <row r="13" ht="15" customHeight="1" s="23">
      <c r="A13" s="30" t="inlineStr">
        <is>
          <t>Inaltime atic (la interior, dupa suprainaltare)</t>
        </is>
      </c>
      <c r="B13" s="30" t="n">
        <v>0</v>
      </c>
      <c r="C13" s="31" t="inlineStr">
        <is>
          <t>SCRIE: INALTIME ATIC DUPA SUPRAINALTARE</t>
        </is>
      </c>
      <c r="D13" s="30" t="n"/>
      <c r="E13" s="30" t="n"/>
      <c r="F13" s="30" t="n"/>
      <c r="G13" s="30" t="n"/>
      <c r="H13" s="30" t="n"/>
      <c r="I13" s="30" t="n"/>
      <c r="J13" s="30" t="n"/>
      <c r="K13" s="30" t="n"/>
      <c r="L13" s="30" t="n"/>
      <c r="M13" s="30" t="n"/>
      <c r="N13" s="30" t="n"/>
      <c r="O13" s="30" t="n"/>
      <c r="P13" s="30" t="n"/>
      <c r="Q13" s="30" t="n"/>
      <c r="R13" s="30" t="n"/>
      <c r="S13" s="30" t="n"/>
      <c r="T13" s="30" t="n"/>
      <c r="U13" s="30" t="n"/>
      <c r="V13" s="30" t="n"/>
    </row>
    <row r="14" ht="15" customHeight="1" s="23">
      <c r="A14" s="30" t="inlineStr">
        <is>
          <t>Inaltime sarpanta</t>
        </is>
      </c>
      <c r="B14" s="30" t="n">
        <v>0</v>
      </c>
      <c r="C14" t="inlineStr">
        <is>
          <t>SCRIE: valoarea INALTIME SARPANTA iar daca nu exista scrie 0</t>
        </is>
      </c>
      <c r="D14" s="30" t="n"/>
      <c r="E14" s="30" t="n"/>
      <c r="F14" s="30" t="n"/>
      <c r="G14" s="30" t="n"/>
      <c r="H14" s="30" t="n"/>
      <c r="I14" s="30" t="n"/>
      <c r="J14" s="30" t="n"/>
      <c r="K14" s="30" t="n"/>
      <c r="L14" s="30" t="n"/>
      <c r="M14" s="30" t="n"/>
      <c r="N14" s="30" t="n"/>
      <c r="O14" s="30" t="n"/>
      <c r="P14" s="30" t="n"/>
      <c r="Q14" s="30" t="n"/>
      <c r="R14" s="30" t="n"/>
      <c r="S14" s="30" t="n"/>
      <c r="T14" s="30" t="n"/>
      <c r="U14" s="30" t="n"/>
      <c r="V14" s="30" t="n"/>
    </row>
    <row r="15" ht="15" customHeight="1" s="23">
      <c r="A15" s="30" t="inlineStr">
        <is>
          <t>Inaltime soclu (media)</t>
        </is>
      </c>
      <c r="B15" s="30" t="n">
        <v>0</v>
      </c>
      <c r="C15" t="inlineStr">
        <is>
          <t>SCRIE: INALTIME SOCLU</t>
        </is>
      </c>
      <c r="D15" s="30" t="n"/>
      <c r="E15" s="30" t="n"/>
      <c r="F15" s="30" t="n"/>
      <c r="G15" s="30" t="n"/>
      <c r="H15" s="30" t="n"/>
      <c r="I15" s="30" t="n"/>
      <c r="J15" s="30" t="n"/>
      <c r="K15" s="30" t="n"/>
      <c r="L15" s="30" t="n"/>
      <c r="M15" s="30" t="n"/>
      <c r="N15" s="30" t="n"/>
      <c r="O15" s="30" t="n"/>
      <c r="P15" s="30" t="n"/>
      <c r="Q15" s="30" t="n"/>
      <c r="R15" s="30" t="n"/>
      <c r="S15" s="30" t="n"/>
      <c r="T15" s="30" t="n"/>
      <c r="U15" s="30" t="n"/>
      <c r="V15" s="30" t="n"/>
    </row>
    <row r="16" ht="15" customHeight="1" s="23">
      <c r="A16" s="30" t="inlineStr">
        <is>
          <t>Inaltime cladire (de la CTA, pana la cota superioara a aticului dupa suprainaltare)</t>
        </is>
      </c>
      <c r="B16" s="30" t="n">
        <v>0</v>
      </c>
      <c r="C16" t="inlineStr">
        <is>
          <t>SCRIE: HCLAD DE LA CTA LA ATIC SUPRAINALTAT</t>
        </is>
      </c>
      <c r="D16" s="30" t="n"/>
      <c r="E16" s="30" t="n"/>
      <c r="F16" s="30" t="n"/>
      <c r="G16" s="30" t="n"/>
      <c r="H16" s="30" t="n"/>
      <c r="I16" s="30" t="n"/>
      <c r="J16" s="30" t="n"/>
      <c r="K16" s="30" t="n"/>
      <c r="L16" s="30" t="n"/>
      <c r="M16" s="30" t="n"/>
      <c r="N16" s="30" t="n"/>
      <c r="O16" s="30" t="n"/>
      <c r="P16" s="30" t="n"/>
      <c r="Q16" s="30" t="n"/>
      <c r="R16" s="30" t="n"/>
      <c r="S16" s="30" t="n"/>
      <c r="T16" s="30" t="n"/>
      <c r="U16" s="30" t="n"/>
      <c r="V16" s="30" t="n"/>
    </row>
    <row r="17" ht="15" customHeight="1" s="23">
      <c r="A17" s="30" t="inlineStr">
        <is>
          <t>Inaltime et tehnic (dupa suprainaltare daca e cazul)</t>
        </is>
      </c>
      <c r="B17" s="32" t="n">
        <v>0</v>
      </c>
      <c r="C17" t="inlineStr">
        <is>
          <t>SCRIE: H ETAJ TEHNIC</t>
        </is>
      </c>
      <c r="D17" s="32" t="n"/>
      <c r="E17" s="32" t="n"/>
      <c r="F17" s="32" t="n"/>
      <c r="G17" s="32" t="n"/>
      <c r="H17" s="32" t="n"/>
      <c r="I17" s="32" t="n"/>
      <c r="J17" s="32" t="n"/>
      <c r="K17" s="32" t="n"/>
      <c r="L17" s="32" t="n"/>
      <c r="M17" s="32" t="n"/>
      <c r="N17" s="32" t="n"/>
      <c r="O17" s="32" t="n"/>
      <c r="P17" s="32" t="n"/>
      <c r="Q17" s="32" t="n"/>
      <c r="R17" s="32" t="n"/>
      <c r="S17" s="32" t="n"/>
      <c r="T17" s="32" t="n"/>
      <c r="U17" s="32" t="n"/>
      <c r="V17" s="32" t="n"/>
    </row>
    <row r="18" ht="15" customHeight="1" s="23">
      <c r="A18" s="30" t="inlineStr">
        <is>
          <t>Suprafata parter</t>
        </is>
      </c>
      <c r="B18" s="32" t="n">
        <v>0</v>
      </c>
      <c r="C18" s="29" t="inlineStr">
        <is>
          <t>SCRIE:  ARIE PLAN PARTER</t>
        </is>
      </c>
      <c r="D18" s="32" t="n"/>
      <c r="E18" s="32" t="n"/>
      <c r="F18" s="32" t="n"/>
      <c r="G18" s="32" t="n"/>
      <c r="H18" s="32" t="n"/>
      <c r="I18" s="32" t="n"/>
      <c r="J18" s="32" t="n"/>
      <c r="K18" s="32" t="n"/>
      <c r="L18" s="32" t="n"/>
      <c r="M18" s="32" t="n"/>
      <c r="N18" s="32" t="n"/>
      <c r="O18" s="32" t="n"/>
      <c r="P18" s="32" t="n"/>
      <c r="Q18" s="32" t="n"/>
      <c r="R18" s="32" t="n"/>
      <c r="S18" s="32" t="n"/>
      <c r="T18" s="32" t="n"/>
      <c r="U18" s="32" t="n"/>
      <c r="V18" s="32" t="n"/>
    </row>
    <row r="19" ht="15" customHeight="1" s="23">
      <c r="A19" s="30" t="inlineStr">
        <is>
          <t>Suprafata etaj</t>
        </is>
      </c>
      <c r="B19" s="32" t="n">
        <v>0</v>
      </c>
      <c r="C19" t="inlineStr">
        <is>
          <t>SCRIE: ARIE PLAN ETAJ CURENT</t>
        </is>
      </c>
      <c r="D19" s="32" t="n"/>
      <c r="E19" s="32" t="n"/>
      <c r="F19" s="32" t="n"/>
      <c r="G19" s="32" t="n"/>
      <c r="H19" s="32" t="n"/>
      <c r="I19" s="32" t="n"/>
      <c r="J19" s="32" t="n"/>
      <c r="K19" s="32" t="n"/>
      <c r="L19" s="32" t="n"/>
      <c r="M19" s="32" t="n"/>
      <c r="N19" s="32" t="n"/>
      <c r="O19" s="32" t="n"/>
      <c r="P19" s="32" t="n"/>
      <c r="Q19" s="32" t="n"/>
      <c r="R19" s="32" t="n"/>
      <c r="S19" s="32" t="n"/>
      <c r="T19" s="32" t="n"/>
      <c r="U19" s="32" t="n"/>
      <c r="V19" s="32" t="n"/>
    </row>
    <row r="20" ht="15" customHeight="1" s="23">
      <c r="A20" s="30" t="inlineStr">
        <is>
          <t>Suprafata terasa/pod (inclusiv etaj tehnic)</t>
        </is>
      </c>
      <c r="B20" s="32" t="n">
        <v>0</v>
      </c>
      <c r="C20" t="inlineStr">
        <is>
          <t>SCRIE: ARIE PLAN TERASA</t>
        </is>
      </c>
      <c r="D20" s="32" t="n"/>
      <c r="E20" s="32" t="n"/>
      <c r="F20" s="32" t="n"/>
      <c r="G20" s="32" t="n"/>
      <c r="H20" s="32" t="n"/>
      <c r="I20" s="32" t="n"/>
      <c r="J20" s="32" t="n"/>
      <c r="K20" s="32" t="n"/>
      <c r="L20" s="32" t="n"/>
      <c r="M20" s="32" t="n"/>
      <c r="N20" s="32" t="n"/>
      <c r="O20" s="32" t="n"/>
      <c r="P20" s="32" t="n"/>
      <c r="Q20" s="32" t="n"/>
      <c r="R20" s="32" t="n"/>
      <c r="S20" s="32" t="n"/>
      <c r="T20" s="32" t="n"/>
      <c r="U20" s="32" t="n"/>
      <c r="V20" s="32" t="n"/>
    </row>
    <row r="21" ht="15" customHeight="1" s="23">
      <c r="A21" s="30" t="inlineStr">
        <is>
          <t>Suprafata sarpanta pe contur streasina</t>
        </is>
      </c>
      <c r="B21" s="32" t="n">
        <v>0</v>
      </c>
      <c r="C21" t="inlineStr">
        <is>
          <t>SCRIE: ARIE PLAN SARPANTA</t>
        </is>
      </c>
      <c r="D21" s="32" t="n"/>
      <c r="E21" s="32" t="n"/>
      <c r="F21" s="32" t="n"/>
      <c r="G21" s="32" t="n"/>
      <c r="H21" s="32" t="n"/>
      <c r="I21" s="32" t="n"/>
      <c r="J21" s="32" t="n"/>
      <c r="K21" s="32" t="n"/>
      <c r="L21" s="32" t="n"/>
      <c r="M21" s="32" t="n"/>
      <c r="N21" s="32" t="n"/>
      <c r="O21" s="32" t="n"/>
      <c r="P21" s="32" t="n"/>
      <c r="Q21" s="32" t="n"/>
      <c r="R21" s="32" t="n"/>
      <c r="S21" s="32" t="n"/>
      <c r="T21" s="32" t="n"/>
      <c r="U21" s="32" t="n"/>
      <c r="V21" s="32" t="n"/>
    </row>
    <row r="22" ht="15" customHeight="1" s="23">
      <c r="A22" s="30" t="inlineStr">
        <is>
          <t>Suprafata etaj tehnic</t>
        </is>
      </c>
      <c r="B22" s="32" t="n">
        <v>0</v>
      </c>
      <c r="C22" t="inlineStr">
        <is>
          <t>SCRIE: ARIE PLAN ETAJ TEHNIC</t>
        </is>
      </c>
      <c r="D22" s="32" t="n"/>
      <c r="E22" s="32" t="n"/>
      <c r="F22" s="32" t="n"/>
      <c r="G22" s="32" t="n"/>
      <c r="H22" s="32" t="n"/>
      <c r="I22" s="32" t="n"/>
      <c r="J22" s="32" t="n"/>
      <c r="K22" s="32" t="n"/>
      <c r="L22" s="32" t="n"/>
      <c r="M22" s="32" t="n"/>
      <c r="N22" s="32" t="n"/>
      <c r="O22" s="32" t="n"/>
      <c r="P22" s="32" t="n"/>
      <c r="Q22" s="32" t="n"/>
      <c r="R22" s="32" t="n"/>
      <c r="S22" s="32" t="n"/>
      <c r="T22" s="32" t="n"/>
      <c r="U22" s="32" t="n"/>
      <c r="V22" s="32" t="n"/>
    </row>
    <row r="23" ht="15" customHeight="1" s="23">
      <c r="A23" s="30" t="inlineStr">
        <is>
          <t>Suprafata subsol/demisol care izoleaza la intrados</t>
        </is>
      </c>
      <c r="B23" s="32" t="n">
        <v>0</v>
      </c>
      <c r="C23" t="inlineStr">
        <is>
          <t>SCRIE: ARIE PLAN SUBSOL</t>
        </is>
      </c>
      <c r="D23" s="32" t="n"/>
      <c r="E23" s="32" t="n"/>
      <c r="F23" s="32" t="n"/>
      <c r="G23" s="32" t="n"/>
      <c r="H23" s="32" t="n"/>
      <c r="I23" s="32" t="n"/>
      <c r="J23" s="32" t="n"/>
      <c r="K23" s="32" t="n"/>
      <c r="L23" s="32" t="n"/>
      <c r="M23" s="32" t="n"/>
      <c r="N23" s="32" t="n"/>
      <c r="O23" s="32" t="n"/>
      <c r="P23" s="32" t="n"/>
      <c r="Q23" s="32" t="n"/>
      <c r="R23" s="32" t="n"/>
      <c r="S23" s="32" t="n"/>
      <c r="T23" s="32" t="n"/>
      <c r="U23" s="32" t="n"/>
      <c r="V23" s="32" t="n"/>
    </row>
    <row r="24" ht="15" customHeight="1" s="23">
      <c r="A24" s="33" t="inlineStr">
        <is>
          <t>Ferestre exterioare - 1 latura</t>
        </is>
      </c>
      <c r="B24" s="33" t="n">
        <v>0</v>
      </c>
      <c r="C24" s="209" t="inlineStr">
        <is>
          <t>CALCULEAZA: SUMA(LATIME FERESTRE SI) + SUMA(LATIME FERESTRE SC)</t>
        </is>
      </c>
      <c r="D24" s="33" t="n"/>
      <c r="E24" s="33" t="n"/>
      <c r="F24" s="33" t="n"/>
      <c r="G24" s="33" t="n"/>
      <c r="H24" s="33" t="n"/>
      <c r="I24" s="33" t="n"/>
      <c r="J24" s="33" t="n"/>
      <c r="K24" s="33" t="n"/>
      <c r="L24" s="33" t="n"/>
      <c r="M24" s="33" t="n"/>
      <c r="N24" s="33" t="n"/>
      <c r="O24" s="33" t="n"/>
      <c r="P24" s="33" t="n"/>
      <c r="Q24" s="33" t="n"/>
      <c r="R24" s="33" t="n"/>
      <c r="S24" s="33" t="n"/>
      <c r="T24" s="33" t="n"/>
      <c r="U24" s="33" t="n"/>
      <c r="V24" s="33" t="n"/>
    </row>
    <row r="25" ht="14.25" customHeight="1" s="23">
      <c r="A25" s="33" t="inlineStr">
        <is>
          <t>Ferestre exterioare - 3 laturi (latime + 2 x inaltime)</t>
        </is>
      </c>
      <c r="B25" s="33" t="n">
        <v>0</v>
      </c>
      <c r="C25" s="209" t="inlineStr">
        <is>
          <t>CALCULEAZA: (SUMA(LATIME FERESTRE SI) + 2*SUMA(INALTIME FERESTRE SI)) + (SUMA(LATIME FERESTRE SC) + 2*SUMA(INALTIME FERESTRE SC))</t>
        </is>
      </c>
      <c r="D25" s="33" t="n"/>
      <c r="E25" s="33" t="n"/>
      <c r="F25" s="33" t="n"/>
      <c r="G25" s="33" t="n"/>
      <c r="H25" s="33" t="n"/>
      <c r="I25" s="33" t="n"/>
      <c r="J25" s="33" t="n"/>
      <c r="K25" s="33" t="n"/>
      <c r="L25" s="33" t="n"/>
      <c r="M25" s="33" t="n"/>
      <c r="N25" s="33" t="n"/>
      <c r="O25" s="33" t="n"/>
      <c r="P25" s="33" t="n"/>
      <c r="Q25" s="33" t="n"/>
      <c r="R25" s="33" t="n"/>
      <c r="S25" s="33" t="n"/>
      <c r="T25" s="33" t="n"/>
      <c r="U25" s="33" t="n"/>
      <c r="V25" s="33" t="n"/>
    </row>
    <row r="26" ht="15" customHeight="1" s="23">
      <c r="A26" s="34" t="inlineStr">
        <is>
          <t>Usi exterioare 1 latura (latime)</t>
        </is>
      </c>
      <c r="B26" s="34" t="n">
        <v>0</v>
      </c>
      <c r="C26" s="209" t="inlineStr">
        <is>
          <t>CALCULEAZA: SUMA(LATIME USA SC) + SUMA(LATIME USA SI)</t>
        </is>
      </c>
      <c r="D26" s="34" t="n"/>
      <c r="E26" s="34" t="n"/>
      <c r="F26" s="34" t="n"/>
      <c r="G26" s="34" t="n"/>
      <c r="H26" s="34" t="n"/>
      <c r="I26" s="34" t="n"/>
      <c r="J26" s="34" t="n"/>
      <c r="K26" s="34" t="n"/>
      <c r="L26" s="34" t="n"/>
      <c r="M26" s="34" t="n"/>
      <c r="N26" s="34" t="n"/>
      <c r="O26" s="34" t="n"/>
      <c r="P26" s="34" t="n"/>
      <c r="Q26" s="34" t="n"/>
      <c r="R26" s="34" t="n"/>
      <c r="S26" s="34" t="n"/>
      <c r="T26" s="34" t="n"/>
      <c r="U26" s="34" t="n"/>
      <c r="V26" s="34" t="n"/>
    </row>
    <row r="27" ht="15" customHeight="1" s="23">
      <c r="A27" s="34" t="inlineStr">
        <is>
          <t>Usi exterioare 2 laturi (2 x inaltime)</t>
        </is>
      </c>
      <c r="B27" s="34" t="n">
        <v>0</v>
      </c>
      <c r="C27" s="209" t="inlineStr">
        <is>
          <t>CALCULEAZA: SUMA(2*INALTIME USA SC) + SUMA(2*INALTIME USA SI)</t>
        </is>
      </c>
      <c r="D27" s="34" t="n"/>
      <c r="E27" s="34" t="n"/>
      <c r="F27" s="34" t="n"/>
      <c r="G27" s="34" t="n"/>
      <c r="H27" s="34" t="n"/>
      <c r="I27" s="34" t="n"/>
      <c r="J27" s="34" t="n"/>
      <c r="K27" s="34" t="n"/>
      <c r="L27" s="34" t="n"/>
      <c r="M27" s="34" t="n"/>
      <c r="N27" s="34" t="n"/>
      <c r="O27" s="34" t="n"/>
      <c r="P27" s="34" t="n"/>
      <c r="Q27" s="34" t="n"/>
      <c r="R27" s="34" t="n"/>
      <c r="S27" s="34" t="n"/>
      <c r="T27" s="34" t="n"/>
      <c r="U27" s="34" t="n"/>
      <c r="V27" s="34" t="n"/>
    </row>
    <row r="28" ht="15" customHeight="1" s="23">
      <c r="A28" s="35" t="inlineStr">
        <is>
          <t>Balcoane - 1 latura</t>
        </is>
      </c>
      <c r="B28" s="35" t="n">
        <v>0</v>
      </c>
      <c r="C28" s="209" t="inlineStr">
        <is>
          <t>CALCULEAZA: SUMA(LATIME BALCON SI) + SUMA(LATIME BALCON SC)</t>
        </is>
      </c>
      <c r="D28" s="35" t="n"/>
      <c r="E28" s="35" t="n"/>
      <c r="F28" s="35" t="n"/>
      <c r="G28" s="35" t="n"/>
      <c r="H28" s="35" t="n"/>
      <c r="I28" s="35" t="n"/>
      <c r="J28" s="35" t="n"/>
      <c r="K28" s="35" t="n"/>
      <c r="L28" s="35" t="n"/>
      <c r="M28" s="35" t="n"/>
      <c r="N28" s="35" t="n"/>
      <c r="O28" s="35" t="n"/>
      <c r="P28" s="35" t="n"/>
      <c r="Q28" s="35" t="n"/>
      <c r="R28" s="35" t="n"/>
      <c r="S28" s="35" t="n"/>
      <c r="T28" s="35" t="n"/>
      <c r="U28" s="35" t="n"/>
      <c r="V28" s="35" t="n"/>
    </row>
    <row r="29" ht="15" customHeight="1" s="23">
      <c r="A29" s="35" t="inlineStr">
        <is>
          <t>Balcoane - 3 laturi (latime + 2 x inaltime)</t>
        </is>
      </c>
      <c r="B29" s="35" t="n">
        <v>0</v>
      </c>
      <c r="C29" s="209" t="inlineStr">
        <is>
          <t>CALCULEAZA: SUMA(LATIME BALCON SI) + SUMA(LATIME BALCON SC) + 2*SUMA(INALTIME BALCON SI) + 2*SUMA(INALTIME BALCON SC)</t>
        </is>
      </c>
      <c r="D29" s="35" t="n"/>
      <c r="E29" s="35" t="n"/>
      <c r="F29" s="35" t="n"/>
      <c r="G29" s="35" t="n"/>
      <c r="H29" s="35" t="n"/>
      <c r="I29" s="35" t="n"/>
      <c r="J29" s="35" t="n"/>
      <c r="K29" s="35" t="n"/>
      <c r="L29" s="35" t="n"/>
      <c r="M29" s="35" t="n"/>
      <c r="N29" s="35" t="n"/>
      <c r="O29" s="35" t="n"/>
      <c r="P29" s="35" t="n"/>
      <c r="Q29" s="35" t="n"/>
      <c r="R29" s="35" t="n"/>
      <c r="S29" s="35" t="n"/>
      <c r="T29" s="35" t="n"/>
      <c r="U29" s="35" t="n"/>
      <c r="V29" s="35" t="n"/>
    </row>
    <row r="30" ht="15" customHeight="1" s="23">
      <c r="A30" s="26" t="inlineStr">
        <is>
          <t>Nr guri de aerisire pod/terasa</t>
        </is>
      </c>
      <c r="B30" s="26" t="n"/>
      <c r="D30" s="26" t="n"/>
      <c r="E30" s="26" t="n"/>
      <c r="F30" s="26" t="n"/>
      <c r="G30" s="26" t="n"/>
      <c r="H30" s="26" t="n"/>
      <c r="I30" s="26" t="n"/>
      <c r="J30" s="26" t="n"/>
      <c r="K30" s="26" t="n"/>
      <c r="L30" s="26" t="n"/>
      <c r="M30" s="26" t="n"/>
      <c r="N30" s="26" t="n"/>
      <c r="O30" s="26" t="n"/>
      <c r="P30" s="26" t="n"/>
      <c r="Q30" s="26" t="n"/>
      <c r="R30" s="26" t="n"/>
      <c r="S30" s="26" t="n"/>
      <c r="T30" s="26" t="n"/>
      <c r="U30" s="26" t="n"/>
      <c r="V30" s="26" t="n"/>
    </row>
    <row r="31" ht="15" customHeight="1" s="23">
      <c r="A31" s="26" t="inlineStr">
        <is>
          <t>Nr de ap in bloc</t>
        </is>
      </c>
      <c r="B31" s="26" t="n"/>
      <c r="D31" s="26" t="n"/>
      <c r="E31" s="26" t="n"/>
      <c r="F31" s="26" t="n"/>
      <c r="G31" s="26" t="n"/>
      <c r="H31" s="26" t="n"/>
      <c r="I31" s="26" t="n"/>
      <c r="J31" s="26" t="n"/>
      <c r="K31" s="26" t="n"/>
      <c r="L31" s="26" t="n"/>
      <c r="M31" s="26" t="n"/>
      <c r="N31" s="26" t="n"/>
      <c r="O31" s="26" t="n"/>
      <c r="P31" s="26" t="n"/>
      <c r="Q31" s="26" t="n"/>
      <c r="R31" s="26" t="n"/>
      <c r="S31" s="26" t="n"/>
      <c r="T31" s="26" t="n"/>
      <c r="U31" s="26" t="n"/>
      <c r="V31" s="26" t="n"/>
    </row>
    <row r="32" ht="15" customHeight="1" s="23">
      <c r="A32" s="36" t="inlineStr">
        <is>
          <t>Cantitate ferestre spatii comune care se inlocuieste</t>
        </is>
      </c>
      <c r="B32" s="36" t="n">
        <v>0</v>
      </c>
      <c r="C32" t="inlineStr">
        <is>
          <t>CALCULEAZA: SUMA(F SC INLOC)</t>
        </is>
      </c>
      <c r="D32" s="36" t="n"/>
      <c r="E32" s="36" t="n"/>
      <c r="F32" s="36" t="n"/>
      <c r="G32" s="36" t="n"/>
      <c r="H32" s="36" t="n"/>
      <c r="I32" s="36" t="n"/>
      <c r="J32" s="36" t="n"/>
      <c r="K32" s="36" t="n"/>
      <c r="L32" s="36" t="n"/>
      <c r="M32" s="36" t="n"/>
      <c r="N32" s="36" t="n"/>
      <c r="O32" s="36" t="n"/>
      <c r="P32" s="36" t="n"/>
      <c r="Q32" s="36" t="n"/>
      <c r="R32" s="36" t="n"/>
      <c r="S32" s="36" t="n"/>
      <c r="T32" s="36" t="n"/>
      <c r="U32" s="36" t="n"/>
      <c r="V32" s="36" t="n"/>
    </row>
    <row r="33" ht="15" customHeight="1" s="23">
      <c r="A33" s="36" t="inlineStr">
        <is>
          <t>Cantitate usi spatii comune care se inlocuieste</t>
        </is>
      </c>
      <c r="B33" s="36" t="n">
        <v>0</v>
      </c>
      <c r="C33" t="inlineStr">
        <is>
          <t>CALCULEAZA: SUMA(U SC INLOC)</t>
        </is>
      </c>
      <c r="D33" s="36" t="n"/>
      <c r="E33" s="36" t="n"/>
      <c r="F33" s="36" t="n"/>
      <c r="G33" s="36" t="n"/>
      <c r="H33" s="36" t="n"/>
      <c r="I33" s="36" t="n"/>
      <c r="J33" s="36" t="n"/>
      <c r="K33" s="36" t="n"/>
      <c r="L33" s="36" t="n"/>
      <c r="M33" s="36" t="n"/>
      <c r="N33" s="36" t="n"/>
      <c r="O33" s="36" t="n"/>
      <c r="P33" s="36" t="n"/>
      <c r="Q33" s="36" t="n"/>
      <c r="R33" s="36" t="n"/>
      <c r="S33" s="36" t="n"/>
      <c r="T33" s="36" t="n"/>
      <c r="U33" s="36" t="n"/>
      <c r="V33" s="36" t="n"/>
    </row>
    <row r="34" ht="15" customHeight="1" s="23">
      <c r="A34" s="36" t="inlineStr">
        <is>
          <t>Cantitate balcoane spatii comune care se inlocuiesc (fara G-&gt;PVC)</t>
        </is>
      </c>
      <c r="B34" s="36" t="n">
        <v>0</v>
      </c>
      <c r="C34" t="inlineStr">
        <is>
          <t>CALCULEAZA: SUMA(F SC BALCON INLOCUIT)</t>
        </is>
      </c>
      <c r="D34" s="36" t="n"/>
      <c r="E34" s="36" t="n"/>
      <c r="F34" s="36" t="n"/>
      <c r="G34" s="36" t="n"/>
      <c r="H34" s="36" t="n"/>
      <c r="I34" s="36" t="n"/>
      <c r="J34" s="36" t="n"/>
      <c r="K34" s="36" t="n"/>
      <c r="L34" s="36" t="n"/>
      <c r="M34" s="36" t="n"/>
      <c r="N34" s="36" t="n"/>
      <c r="O34" s="36" t="n"/>
      <c r="P34" s="36" t="n"/>
      <c r="Q34" s="36" t="n"/>
      <c r="R34" s="36" t="n"/>
      <c r="S34" s="36" t="n"/>
      <c r="T34" s="36" t="n"/>
      <c r="U34" s="36" t="n"/>
      <c r="V34" s="36" t="n"/>
    </row>
    <row r="35" ht="15" customHeight="1" s="23">
      <c r="A35" s="36" t="inlineStr">
        <is>
          <t>Cantitate balcone spatii comune care se propun noi (G-&gt;PVC)</t>
        </is>
      </c>
      <c r="B35" s="36" t="n">
        <v>0</v>
      </c>
      <c r="C35" t="inlineStr">
        <is>
          <t>CALCULEAZA: SUMA(F SC BALCON INLOCUIT)</t>
        </is>
      </c>
      <c r="D35" s="36" t="n"/>
      <c r="E35" s="36" t="n"/>
      <c r="F35" s="36" t="n"/>
      <c r="G35" s="36" t="n"/>
      <c r="H35" s="36" t="n"/>
      <c r="I35" s="36" t="n"/>
      <c r="J35" s="36" t="n"/>
      <c r="K35" s="36" t="n"/>
      <c r="L35" s="36" t="n"/>
      <c r="M35" s="36" t="n"/>
      <c r="N35" s="36" t="n"/>
      <c r="O35" s="36" t="n"/>
      <c r="P35" s="36" t="n"/>
      <c r="Q35" s="36" t="n"/>
      <c r="R35" s="36" t="n"/>
      <c r="S35" s="36" t="n"/>
      <c r="T35" s="36" t="n"/>
      <c r="U35" s="36" t="n"/>
      <c r="V35" s="36" t="n"/>
    </row>
    <row r="36" ht="15" customHeight="1" s="23">
      <c r="A36" s="36" t="inlineStr">
        <is>
          <t>Cantitate balcone spatii comune care se demonteaza si ramane gol(B.E-&gt;G)</t>
        </is>
      </c>
      <c r="B36" s="36" t="n">
        <v>0</v>
      </c>
      <c r="C36" t="inlineStr">
        <is>
          <t>CALCULEAZA: SUMA(B SC DEMONTAT)</t>
        </is>
      </c>
      <c r="D36" s="36" t="n"/>
      <c r="E36" s="36" t="n"/>
      <c r="F36" s="36" t="n"/>
      <c r="G36" s="36" t="n"/>
      <c r="H36" s="36" t="n"/>
      <c r="I36" s="36" t="n"/>
      <c r="J36" s="36" t="n"/>
      <c r="K36" s="36" t="n"/>
      <c r="L36" s="36" t="n"/>
      <c r="M36" s="36" t="n"/>
      <c r="N36" s="36" t="n"/>
      <c r="O36" s="36" t="n"/>
      <c r="P36" s="36" t="n"/>
      <c r="Q36" s="36" t="n"/>
      <c r="R36" s="36" t="n"/>
      <c r="S36" s="36" t="n"/>
      <c r="T36" s="36" t="n"/>
      <c r="U36" s="36" t="n"/>
      <c r="V36" s="36" t="n"/>
    </row>
    <row r="37" ht="15" customHeight="1" s="23">
      <c r="A37" s="36" t="inlineStr">
        <is>
          <t>Spaleti spatii comune (perimetru ferestre + balcone + usi pe 3 laturi) - tamplarie la care se intervine</t>
        </is>
      </c>
      <c r="B37" s="36" t="n">
        <v>0</v>
      </c>
      <c r="C37" t="inlineStr">
        <is>
          <t>CALCULEAZA: (SUMA(LATIME USA SC) + 2*SUMA(INALTIME USA SC)) + (2*SUMA(LATIME FERESTRE SC) + 2*SUMA(INALTIME FERESTRE SC))</t>
        </is>
      </c>
      <c r="D37" s="36" t="n"/>
      <c r="E37" s="36" t="n"/>
      <c r="F37" s="36" t="n"/>
      <c r="G37" s="36" t="n"/>
      <c r="H37" s="36" t="n"/>
      <c r="I37" s="36" t="n"/>
      <c r="J37" s="36" t="n"/>
      <c r="K37" s="36" t="n"/>
      <c r="L37" s="36" t="n"/>
      <c r="M37" s="36" t="n"/>
      <c r="N37" s="36" t="n"/>
      <c r="O37" s="36" t="n"/>
      <c r="P37" s="36" t="n"/>
      <c r="Q37" s="36" t="n"/>
      <c r="R37" s="36" t="n"/>
      <c r="S37" s="36" t="n"/>
      <c r="T37" s="36" t="n"/>
      <c r="U37" s="36" t="n"/>
      <c r="V37" s="36" t="n"/>
    </row>
    <row r="38" ht="15" customHeight="1" s="23">
      <c r="A38" s="37" t="inlineStr">
        <is>
          <t>Cantitate ferestre spatii individuale care se inlocuieste</t>
        </is>
      </c>
      <c r="B38" s="37" t="n">
        <v>0</v>
      </c>
      <c r="C38" t="inlineStr">
        <is>
          <t>CALCULEAZA: SUMA(F SI INLOC)</t>
        </is>
      </c>
      <c r="D38" s="37" t="n"/>
      <c r="E38" s="37" t="n"/>
      <c r="F38" s="37" t="n"/>
      <c r="G38" s="37" t="n"/>
      <c r="H38" s="37" t="n"/>
      <c r="I38" s="37" t="n"/>
      <c r="J38" s="37" t="n"/>
      <c r="K38" s="37" t="n"/>
      <c r="L38" s="37" t="n"/>
      <c r="M38" s="37" t="n"/>
      <c r="N38" s="37" t="n"/>
      <c r="O38" s="37" t="n"/>
      <c r="P38" s="37" t="n"/>
      <c r="Q38" s="37" t="n"/>
      <c r="R38" s="37" t="n"/>
      <c r="S38" s="37" t="n"/>
      <c r="T38" s="37" t="n"/>
      <c r="U38" s="37" t="n"/>
      <c r="V38" s="37" t="n"/>
    </row>
    <row r="39" ht="15" customHeight="1" s="23">
      <c r="A39" s="37" t="inlineStr">
        <is>
          <t>Cantitate usi spatii  individuale care se inlocuieste</t>
        </is>
      </c>
      <c r="B39" s="37" t="n">
        <v>0</v>
      </c>
      <c r="C39" t="inlineStr">
        <is>
          <t>CALCULEAZA: SUMA(U SI INLOC)</t>
        </is>
      </c>
      <c r="D39" s="37" t="n"/>
      <c r="E39" s="37" t="n"/>
      <c r="F39" s="37" t="n"/>
      <c r="G39" s="37" t="n"/>
      <c r="H39" s="37" t="n"/>
      <c r="I39" s="37" t="n"/>
      <c r="J39" s="37" t="n"/>
      <c r="K39" s="37" t="n"/>
      <c r="L39" s="37" t="n"/>
      <c r="M39" s="37" t="n"/>
      <c r="N39" s="37" t="n"/>
      <c r="O39" s="37" t="n"/>
      <c r="P39" s="37" t="n"/>
      <c r="Q39" s="37" t="n"/>
      <c r="R39" s="37" t="n"/>
      <c r="S39" s="37" t="n"/>
      <c r="T39" s="37" t="n"/>
      <c r="U39" s="37" t="n"/>
      <c r="V39" s="37" t="n"/>
    </row>
    <row r="40" ht="15" customHeight="1" s="23">
      <c r="A40" s="37" t="inlineStr">
        <is>
          <t>Cantitate balcoane spatii  individuale care se inlocuiesc (fara G-&gt;PVC)</t>
        </is>
      </c>
      <c r="B40" s="37" t="n">
        <v>0</v>
      </c>
      <c r="C40" t="inlineStr">
        <is>
          <t>CALCULEAZA: SUMA(FI BALCON INLOCUIT)/2</t>
        </is>
      </c>
      <c r="D40" s="37" t="n"/>
      <c r="E40" s="37" t="n"/>
      <c r="F40" s="37" t="n"/>
      <c r="G40" s="37" t="n"/>
      <c r="H40" s="37" t="n"/>
      <c r="I40" s="37" t="n"/>
      <c r="J40" s="37" t="n"/>
      <c r="K40" s="37" t="n"/>
      <c r="L40" s="37" t="n"/>
      <c r="M40" s="37" t="n"/>
      <c r="N40" s="37" t="n"/>
      <c r="O40" s="37" t="n"/>
      <c r="P40" s="37" t="n"/>
      <c r="Q40" s="37" t="n"/>
      <c r="R40" s="37" t="n"/>
      <c r="S40" s="37" t="n"/>
      <c r="T40" s="37" t="n"/>
      <c r="U40" s="37" t="n"/>
      <c r="V40" s="37" t="n"/>
    </row>
    <row r="41" ht="15" customHeight="1" s="23">
      <c r="A41" s="37" t="inlineStr">
        <is>
          <t>Cantitate balcone spatii  individuale care se propun noi (G-&gt;PVC)</t>
        </is>
      </c>
      <c r="B41" s="37" t="n">
        <v>0</v>
      </c>
      <c r="C41" t="inlineStr">
        <is>
          <t>CALCULEAZA: SUMA(FI BALCON INLOCUIT)/2</t>
        </is>
      </c>
      <c r="D41" s="37" t="n"/>
      <c r="E41" s="37" t="n"/>
      <c r="F41" s="37" t="n"/>
      <c r="G41" s="37" t="n"/>
      <c r="H41" s="37" t="n"/>
      <c r="I41" s="37" t="n"/>
      <c r="J41" s="37" t="n"/>
      <c r="K41" s="37" t="n"/>
      <c r="L41" s="37" t="n"/>
      <c r="M41" s="37" t="n"/>
      <c r="N41" s="37" t="n"/>
      <c r="O41" s="37" t="n"/>
      <c r="P41" s="37" t="n"/>
      <c r="Q41" s="37" t="n"/>
      <c r="R41" s="37" t="n"/>
      <c r="S41" s="37" t="n"/>
      <c r="T41" s="37" t="n"/>
      <c r="U41" s="37" t="n"/>
      <c r="V41" s="37" t="n"/>
    </row>
    <row r="42" ht="15" customHeight="1" s="23">
      <c r="A42" s="37" t="inlineStr">
        <is>
          <t>Cantitate panel despartitor</t>
        </is>
      </c>
      <c r="B42" s="37" t="n"/>
      <c r="D42" s="37" t="n"/>
      <c r="E42" s="37" t="n"/>
      <c r="F42" s="37" t="n"/>
      <c r="G42" s="37" t="n"/>
      <c r="H42" s="37" t="n"/>
      <c r="I42" s="37" t="n"/>
      <c r="J42" s="37" t="n"/>
      <c r="K42" s="37" t="n"/>
      <c r="L42" s="37" t="n"/>
      <c r="M42" s="37" t="n"/>
      <c r="N42" s="37" t="n"/>
      <c r="O42" s="37" t="n"/>
      <c r="P42" s="37" t="n"/>
      <c r="Q42" s="37" t="n"/>
      <c r="R42" s="37" t="n"/>
      <c r="S42" s="37" t="n"/>
      <c r="T42" s="37" t="n"/>
      <c r="U42" s="37" t="n"/>
      <c r="V42" s="37" t="n"/>
    </row>
    <row r="43" ht="15" customHeight="1" s="23">
      <c r="A43" s="37" t="inlineStr">
        <is>
          <t>Cantitate balcone spatii individuale care se demonteaza si ramane gol (B.E-&gt;G)</t>
        </is>
      </c>
      <c r="B43" s="37" t="n"/>
      <c r="D43" s="37" t="n"/>
      <c r="E43" s="37" t="n"/>
      <c r="F43" s="37" t="n"/>
      <c r="G43" s="37" t="n"/>
      <c r="H43" s="37" t="n"/>
      <c r="I43" s="37" t="n"/>
      <c r="J43" s="37" t="n"/>
      <c r="K43" s="37" t="n"/>
      <c r="L43" s="37" t="n"/>
      <c r="M43" s="37" t="n"/>
      <c r="N43" s="37" t="n"/>
      <c r="O43" s="37" t="n"/>
      <c r="P43" s="37" t="n"/>
      <c r="Q43" s="37" t="n"/>
      <c r="R43" s="37" t="n"/>
      <c r="S43" s="37" t="n"/>
      <c r="T43" s="37" t="n"/>
      <c r="U43" s="37" t="n"/>
      <c r="V43" s="37" t="n"/>
    </row>
    <row r="44" ht="15" customHeight="1" s="23">
      <c r="A44" s="37" t="inlineStr">
        <is>
          <t>Spaleti spatii individuale (perimetru ferestre + balcone + usi pe 3 laturi) - tamplarie la care se intervine</t>
        </is>
      </c>
      <c r="B44" s="37" t="n">
        <v>0</v>
      </c>
      <c r="C44" t="inlineStr">
        <is>
          <t>CALCULEAZA: (2*SUMA(LATIME FERESTRE SI) + 2*SUMA(INALTIME FERESTRE SI)) + (2*SUMA(LATIME BALCON SI) + 2*SUMA(INALTIME BALCON SI))</t>
        </is>
      </c>
      <c r="D44" s="37" t="n"/>
      <c r="E44" s="37" t="n"/>
      <c r="F44" s="37" t="n"/>
      <c r="G44" s="37" t="n"/>
      <c r="H44" s="37" t="n"/>
      <c r="I44" s="37" t="n"/>
      <c r="J44" s="37" t="n"/>
      <c r="K44" s="37" t="n"/>
      <c r="L44" s="37" t="n"/>
      <c r="M44" s="37" t="n"/>
      <c r="N44" s="37" t="n"/>
      <c r="O44" s="37" t="n"/>
      <c r="P44" s="37" t="n"/>
      <c r="Q44" s="37" t="n"/>
      <c r="R44" s="37" t="n"/>
      <c r="S44" s="37" t="n"/>
      <c r="T44" s="37" t="n"/>
      <c r="U44" s="37" t="n"/>
      <c r="V44" s="37" t="n"/>
    </row>
    <row r="45" ht="15" customHeight="1" s="23">
      <c r="A45" s="38" t="inlineStr">
        <is>
          <t>Cantitate ferestre SAD  care se inlocuiesc</t>
        </is>
      </c>
      <c r="B45" s="38" t="n">
        <v>0</v>
      </c>
      <c r="C45" t="inlineStr">
        <is>
          <t>scrie:0</t>
        </is>
      </c>
      <c r="D45" s="38" t="n"/>
      <c r="E45" s="38" t="n"/>
      <c r="F45" s="38" t="n"/>
      <c r="G45" s="38" t="n"/>
      <c r="H45" s="38" t="n"/>
      <c r="I45" s="38" t="n"/>
      <c r="J45" s="38" t="n"/>
      <c r="K45" s="38" t="n"/>
      <c r="L45" s="38" t="n"/>
      <c r="M45" s="38" t="n"/>
      <c r="N45" s="38" t="n"/>
      <c r="O45" s="38" t="n"/>
      <c r="P45" s="38" t="n"/>
      <c r="Q45" s="38" t="n"/>
      <c r="R45" s="38" t="n"/>
      <c r="S45" s="38" t="n"/>
      <c r="T45" s="38" t="n"/>
      <c r="U45" s="38" t="n"/>
      <c r="V45" s="38" t="n"/>
    </row>
    <row r="46" ht="15" customHeight="1" s="23">
      <c r="A46" s="38" t="inlineStr">
        <is>
          <t>Cantitate usi SAD care se inlocuiesc</t>
        </is>
      </c>
      <c r="B46" s="38" t="n">
        <v>0</v>
      </c>
      <c r="C46" t="inlineStr">
        <is>
          <t>scrie:0</t>
        </is>
      </c>
      <c r="D46" s="38" t="n"/>
      <c r="E46" s="38" t="n"/>
      <c r="F46" s="38" t="n"/>
      <c r="G46" s="38" t="n"/>
      <c r="H46" s="38" t="n"/>
      <c r="I46" s="38" t="n"/>
      <c r="J46" s="38" t="n"/>
      <c r="K46" s="38" t="n"/>
      <c r="L46" s="38" t="n"/>
      <c r="M46" s="38" t="n"/>
      <c r="N46" s="38" t="n"/>
      <c r="O46" s="38" t="n"/>
      <c r="P46" s="38" t="n"/>
      <c r="Q46" s="38" t="n"/>
      <c r="R46" s="38" t="n"/>
      <c r="S46" s="38" t="n"/>
      <c r="T46" s="38" t="n"/>
      <c r="U46" s="38" t="n"/>
      <c r="V46" s="38" t="n"/>
    </row>
    <row r="47" ht="15" customHeight="1" s="23">
      <c r="A47" s="38" t="inlineStr">
        <is>
          <t>Spaleti SAD (perimetru ferestre  + usi pe 3 laturi) - tamplarie la care se intervine</t>
        </is>
      </c>
      <c r="B47" s="38" t="n">
        <v>0</v>
      </c>
      <c r="C47" t="inlineStr">
        <is>
          <t>scrie:0</t>
        </is>
      </c>
      <c r="D47" s="38" t="n"/>
      <c r="E47" s="38" t="n"/>
      <c r="F47" s="38" t="n"/>
      <c r="G47" s="38" t="n"/>
      <c r="H47" s="38" t="n"/>
      <c r="I47" s="38" t="n"/>
      <c r="J47" s="38" t="n"/>
      <c r="K47" s="38" t="n"/>
      <c r="L47" s="38" t="n"/>
      <c r="M47" s="38" t="n"/>
      <c r="N47" s="38" t="n"/>
      <c r="O47" s="38" t="n"/>
      <c r="P47" s="38" t="n"/>
      <c r="Q47" s="38" t="n"/>
      <c r="R47" s="38" t="n"/>
      <c r="S47" s="38" t="n"/>
      <c r="T47" s="38" t="n"/>
      <c r="U47" s="38" t="n"/>
      <c r="V47" s="38" t="n"/>
    </row>
    <row r="48" ht="15" customHeight="1" s="23">
      <c r="A48" s="39" t="inlineStr">
        <is>
          <t>Numar panouri fotovoltaice (de pe docs)</t>
        </is>
      </c>
      <c r="B48" s="39" t="n"/>
      <c r="D48" s="39" t="n"/>
      <c r="E48" s="39" t="n"/>
      <c r="F48" s="39" t="n"/>
      <c r="G48" s="39" t="n"/>
      <c r="H48" s="39" t="n"/>
      <c r="I48" s="39" t="n"/>
      <c r="J48" s="39" t="n"/>
      <c r="K48" s="39" t="n"/>
      <c r="L48" s="39" t="n"/>
      <c r="M48" s="39" t="n"/>
      <c r="N48" s="39" t="n"/>
      <c r="O48" s="39" t="n"/>
      <c r="P48" s="39" t="n"/>
      <c r="Q48" s="39" t="n"/>
      <c r="R48" s="39" t="n"/>
      <c r="S48" s="39" t="n"/>
      <c r="T48" s="39" t="n"/>
      <c r="U48" s="39" t="n"/>
      <c r="V48" s="39" t="n"/>
    </row>
    <row r="49" ht="15" customHeight="1" s="23">
      <c r="A49" s="39" t="inlineStr">
        <is>
          <t>Numar statii incarcare (de pe docs)</t>
        </is>
      </c>
      <c r="B49" s="39" t="n"/>
      <c r="D49" s="39" t="n"/>
      <c r="E49" s="39" t="n"/>
      <c r="F49" s="39" t="n"/>
      <c r="G49" s="39" t="n"/>
      <c r="H49" s="39" t="n"/>
      <c r="I49" s="39" t="n"/>
      <c r="J49" s="39" t="n"/>
      <c r="K49" s="39" t="n"/>
      <c r="L49" s="39" t="n"/>
      <c r="M49" s="39" t="n"/>
      <c r="N49" s="39" t="n"/>
      <c r="O49" s="39" t="n"/>
      <c r="P49" s="39" t="n"/>
      <c r="Q49" s="39" t="n"/>
      <c r="R49" s="39" t="n"/>
      <c r="S49" s="39" t="n"/>
      <c r="T49" s="39" t="n"/>
      <c r="U49" s="39" t="n"/>
      <c r="V49" s="39" t="n"/>
    </row>
    <row r="50" ht="15" customHeight="1" s="23">
      <c r="A50" s="40" t="inlineStr">
        <is>
          <t>Chepeng acces pod (buc)</t>
        </is>
      </c>
      <c r="B50" s="40" t="n"/>
      <c r="D50" s="40" t="n"/>
      <c r="E50" s="40" t="n"/>
      <c r="F50" s="40" t="n"/>
      <c r="G50" s="40" t="n"/>
      <c r="H50" s="40" t="n"/>
      <c r="I50" s="40" t="n"/>
      <c r="J50" s="40" t="n"/>
      <c r="K50" s="40" t="n"/>
      <c r="L50" s="40" t="n"/>
      <c r="M50" s="40" t="n"/>
      <c r="N50" s="40" t="n"/>
      <c r="O50" s="40" t="n"/>
      <c r="P50" s="40" t="n"/>
      <c r="Q50" s="40" t="n"/>
      <c r="R50" s="40" t="n"/>
      <c r="S50" s="40" t="n"/>
      <c r="T50" s="40" t="n"/>
      <c r="U50" s="40" t="n"/>
      <c r="V50" s="40" t="n"/>
    </row>
    <row r="51" ht="15" customHeight="1" s="23">
      <c r="A51" s="40" t="inlineStr">
        <is>
          <t>Chepeng acces terasa (buc)</t>
        </is>
      </c>
      <c r="B51" s="40" t="n"/>
      <c r="D51" s="40" t="n"/>
      <c r="E51" s="40" t="n"/>
      <c r="F51" s="40" t="n"/>
      <c r="G51" s="40" t="n"/>
      <c r="H51" s="40" t="n"/>
      <c r="I51" s="40" t="n"/>
      <c r="J51" s="40" t="n"/>
      <c r="K51" s="40" t="n"/>
      <c r="L51" s="40" t="n"/>
      <c r="M51" s="40" t="n"/>
      <c r="N51" s="40" t="n"/>
      <c r="O51" s="40" t="n"/>
      <c r="P51" s="40" t="n"/>
      <c r="Q51" s="40" t="n"/>
      <c r="R51" s="40" t="n"/>
      <c r="S51" s="40" t="n"/>
      <c r="T51" s="40" t="n"/>
      <c r="U51" s="40" t="n"/>
      <c r="V51" s="40" t="n"/>
    </row>
    <row r="52" ht="15" customHeight="1" s="23">
      <c r="A52" s="41" t="inlineStr">
        <is>
          <t>Supafata laterala parter pentru schela</t>
        </is>
      </c>
      <c r="B52" s="41" t="n">
        <v>0</v>
      </c>
      <c r="C52" t="inlineStr">
        <is>
          <t>CALCULEAZA: SUMA(FATADA) + SUMA(SUPRAFATA SOCLU)</t>
        </is>
      </c>
      <c r="D52" s="41" t="n"/>
      <c r="E52" s="41" t="n"/>
      <c r="F52" s="41" t="n"/>
      <c r="G52" s="41" t="n"/>
      <c r="H52" s="41" t="n"/>
      <c r="I52" s="41" t="n"/>
      <c r="J52" s="41" t="n"/>
      <c r="K52" s="41" t="n"/>
      <c r="L52" s="41" t="n"/>
      <c r="M52" s="41" t="n"/>
      <c r="N52" s="41" t="n"/>
      <c r="O52" s="41" t="n"/>
      <c r="P52" s="41" t="n"/>
      <c r="Q52" s="41" t="n"/>
      <c r="R52" s="41" t="n"/>
      <c r="S52" s="41" t="n"/>
      <c r="T52" s="41" t="n"/>
      <c r="U52" s="41" t="n"/>
      <c r="V52" s="41" t="n"/>
    </row>
    <row r="53" ht="15" customHeight="1" s="23">
      <c r="A53" s="41" t="inlineStr">
        <is>
          <t>Supratafa laterala etaj pentru schela</t>
        </is>
      </c>
      <c r="B53" s="41" t="n">
        <v>0</v>
      </c>
      <c r="C53" t="inlineStr">
        <is>
          <t>scrie 0</t>
        </is>
      </c>
      <c r="D53" s="41" t="n"/>
      <c r="E53" s="41" t="n"/>
      <c r="F53" s="42" t="n"/>
      <c r="G53" s="42" t="n"/>
      <c r="H53" s="41" t="n"/>
      <c r="I53" s="41" t="n"/>
      <c r="J53" s="41" t="n"/>
      <c r="K53" s="41" t="n"/>
      <c r="L53" s="41" t="n"/>
      <c r="M53" s="41" t="n"/>
      <c r="N53" s="41" t="n"/>
      <c r="O53" s="41" t="n"/>
      <c r="P53" s="41" t="n"/>
      <c r="Q53" s="41" t="n"/>
      <c r="R53" s="41" t="n"/>
      <c r="S53" s="41" t="n"/>
      <c r="T53" s="41" t="n"/>
      <c r="U53" s="41" t="n"/>
      <c r="V53" s="41" t="n"/>
    </row>
    <row r="54" ht="15" customHeight="1" s="23">
      <c r="A54" s="41" t="inlineStr">
        <is>
          <t>Suprafata laterala etaj tehnic pentr schela</t>
        </is>
      </c>
      <c r="B54" s="41" t="n">
        <v>0</v>
      </c>
      <c r="C54" t="inlineStr">
        <is>
          <t>scie 0</t>
        </is>
      </c>
      <c r="D54" s="41" t="n"/>
      <c r="E54" s="41" t="n"/>
      <c r="F54" s="41" t="n"/>
      <c r="G54" s="41" t="n"/>
      <c r="H54" s="41" t="n"/>
      <c r="I54" s="41" t="n"/>
      <c r="J54" s="41" t="n"/>
      <c r="K54" s="41" t="n"/>
      <c r="L54" s="41" t="n"/>
      <c r="M54" s="41" t="n"/>
      <c r="N54" s="41" t="n"/>
      <c r="O54" s="41" t="n"/>
      <c r="P54" s="41" t="n"/>
      <c r="Q54" s="41" t="n"/>
      <c r="R54" s="41" t="n"/>
      <c r="S54" s="41" t="n"/>
      <c r="T54" s="41" t="n"/>
      <c r="U54" s="41" t="n"/>
      <c r="V54" s="41" t="n"/>
    </row>
    <row r="55" ht="15" customHeight="1" s="23">
      <c r="A55" s="41" t="inlineStr">
        <is>
          <t>Suprafata laterala parter pentru termosistem</t>
        </is>
      </c>
      <c r="B55" s="41" t="n">
        <v>0</v>
      </c>
      <c r="C55" s="29" t="inlineStr">
        <is>
          <t>CALCULEAZA: SUMA(FATADA) - SUMA(F SI) - SUMA(F BALCON) - SUMA(U SC) - SUMA(F SC)</t>
        </is>
      </c>
      <c r="D55" s="41" t="n"/>
      <c r="E55" s="41" t="n"/>
      <c r="F55" s="41" t="n"/>
      <c r="G55" s="41" t="n"/>
      <c r="H55" s="41" t="n"/>
      <c r="I55" s="41" t="n"/>
      <c r="J55" s="41" t="n"/>
      <c r="K55" s="41" t="n"/>
      <c r="L55" s="41" t="n"/>
      <c r="M55" s="41" t="n"/>
      <c r="N55" s="41" t="n"/>
      <c r="O55" s="41" t="n"/>
      <c r="P55" s="41" t="n"/>
      <c r="Q55" s="41" t="n"/>
      <c r="R55" s="41" t="n"/>
      <c r="S55" s="41" t="n"/>
      <c r="T55" s="41" t="n"/>
      <c r="U55" s="41" t="n"/>
      <c r="V55" s="41" t="n"/>
    </row>
    <row r="56" ht="15" customHeight="1" s="23">
      <c r="A56" s="41" t="inlineStr">
        <is>
          <t>Suprafata laterala etaj pentru termosistem</t>
        </is>
      </c>
      <c r="B56" s="41" t="n">
        <v>0</v>
      </c>
      <c r="C56" t="inlineStr">
        <is>
          <t>scrie 0</t>
        </is>
      </c>
      <c r="D56" s="41" t="n"/>
      <c r="E56" s="41" t="n"/>
      <c r="F56" s="41" t="n"/>
      <c r="G56" s="41" t="n"/>
      <c r="H56" s="41" t="n"/>
      <c r="I56" s="41" t="n"/>
      <c r="J56" s="41" t="n"/>
      <c r="K56" s="41" t="n"/>
      <c r="L56" s="41" t="n"/>
      <c r="M56" s="41" t="n"/>
      <c r="N56" s="41" t="n"/>
      <c r="O56" s="41" t="n"/>
      <c r="P56" s="41" t="n"/>
      <c r="Q56" s="41" t="n"/>
      <c r="R56" s="41" t="n"/>
      <c r="S56" s="41" t="n"/>
      <c r="T56" s="41" t="n"/>
      <c r="U56" s="41" t="n"/>
      <c r="V56" s="41" t="n"/>
    </row>
    <row r="57" ht="15" customHeight="1" s="23">
      <c r="A57" s="41" t="inlineStr">
        <is>
          <t>Suprafata laterala etaj tehnic pentru termosistem</t>
        </is>
      </c>
      <c r="B57" s="41" t="n">
        <v>0</v>
      </c>
      <c r="C57" t="inlineStr">
        <is>
          <t>CALCULEAZA: SUMA(FATADA ETAJ TEHNIC)</t>
        </is>
      </c>
      <c r="D57" s="41" t="n"/>
      <c r="E57" s="41" t="n"/>
      <c r="F57" s="41" t="n"/>
      <c r="G57" s="41" t="n"/>
      <c r="H57" s="41" t="n"/>
      <c r="I57" s="41" t="n"/>
      <c r="J57" s="41" t="n"/>
      <c r="K57" s="41" t="n"/>
      <c r="L57" s="41" t="n"/>
      <c r="M57" s="41" t="n"/>
      <c r="N57" s="41" t="n"/>
      <c r="O57" s="41" t="n"/>
      <c r="P57" s="41" t="n"/>
      <c r="Q57" s="41" t="n"/>
      <c r="R57" s="41" t="n"/>
      <c r="S57" s="41" t="n"/>
      <c r="T57" s="41" t="n"/>
      <c r="U57" s="41" t="n"/>
      <c r="V57" s="41" t="n"/>
    </row>
    <row r="58" ht="15" customHeight="1" s="23">
      <c r="A58" s="41" t="inlineStr">
        <is>
          <t>Suprafata laterala soclu</t>
        </is>
      </c>
      <c r="B58" s="41" t="n">
        <v>0</v>
      </c>
      <c r="C58" s="29" t="inlineStr">
        <is>
          <t>SCRIE: SUPRAFATA SOCLU</t>
        </is>
      </c>
      <c r="D58" s="41" t="n"/>
      <c r="E58" s="41" t="n"/>
      <c r="F58" s="41" t="n"/>
      <c r="G58" s="41" t="n"/>
      <c r="H58" s="41" t="n"/>
      <c r="I58" s="41" t="n"/>
      <c r="J58" s="41" t="n"/>
      <c r="K58" s="41" t="n"/>
      <c r="L58" s="41" t="n"/>
      <c r="M58" s="41" t="n"/>
      <c r="N58" s="41" t="n"/>
      <c r="O58" s="41" t="n"/>
      <c r="P58" s="41" t="n"/>
      <c r="Q58" s="41" t="n"/>
      <c r="R58" s="41" t="n"/>
      <c r="S58" s="41" t="n"/>
      <c r="T58" s="41" t="n"/>
      <c r="U58" s="41" t="n"/>
      <c r="V58" s="41" t="n"/>
    </row>
    <row r="59" ht="15" customHeight="1" s="23">
      <c r="A59" s="41" t="inlineStr">
        <is>
          <t>Suprafata laterala atic</t>
        </is>
      </c>
      <c r="B59" s="41" t="n">
        <v>0</v>
      </c>
      <c r="C59" t="inlineStr">
        <is>
          <t>SCRIE: SUPRAFATA ATIC</t>
        </is>
      </c>
      <c r="D59" s="41" t="n"/>
      <c r="E59" s="41" t="n"/>
      <c r="F59" s="41" t="n"/>
      <c r="G59" s="41" t="n"/>
      <c r="H59" s="41" t="n"/>
      <c r="I59" s="41" t="n"/>
      <c r="J59" s="41" t="n"/>
      <c r="K59" s="41" t="n"/>
      <c r="L59" s="41" t="n"/>
      <c r="M59" s="41" t="n"/>
      <c r="N59" s="41" t="n"/>
      <c r="O59" s="41" t="n"/>
      <c r="P59" s="41" t="n"/>
      <c r="Q59" s="41" t="n"/>
      <c r="R59" s="41" t="n"/>
      <c r="S59" s="41" t="n"/>
      <c r="T59" s="41" t="n"/>
      <c r="U59" s="41" t="n"/>
      <c r="V59" s="41" t="n"/>
    </row>
    <row r="60" ht="15" customHeight="1" s="23">
      <c r="A60" s="41" t="inlineStr">
        <is>
          <t>Numar etaje (fara parter si etaj tehnic)</t>
        </is>
      </c>
      <c r="B60" s="41" t="n"/>
      <c r="D60" s="41" t="n"/>
      <c r="E60" s="41" t="n"/>
      <c r="F60" s="41" t="n"/>
      <c r="G60" s="41" t="n"/>
      <c r="H60" s="41" t="n"/>
      <c r="I60" s="41" t="n"/>
      <c r="J60" s="41" t="n"/>
      <c r="K60" s="41" t="n"/>
      <c r="L60" s="41" t="n"/>
      <c r="M60" s="41" t="n"/>
      <c r="N60" s="41" t="n"/>
      <c r="O60" s="41" t="n"/>
      <c r="P60" s="41" t="n"/>
      <c r="Q60" s="41" t="n"/>
      <c r="R60" s="41" t="n"/>
      <c r="S60" s="41" t="n"/>
      <c r="T60" s="41" t="n"/>
      <c r="U60" s="41" t="n"/>
      <c r="V60" s="41" t="n"/>
    </row>
    <row r="61" ht="15" customHeight="1" s="23">
      <c r="A61" s="36" t="inlineStr">
        <is>
          <t>Numar colturi exterioare+interioare cladire</t>
        </is>
      </c>
      <c r="B61" s="36" t="n"/>
      <c r="D61" s="36" t="n"/>
      <c r="E61" s="36" t="n"/>
      <c r="F61" s="36" t="n"/>
      <c r="G61" s="36" t="n"/>
      <c r="H61" s="36" t="n"/>
      <c r="I61" s="36" t="n"/>
      <c r="J61" s="36" t="n"/>
      <c r="K61" s="36" t="n"/>
      <c r="L61" s="36" t="n"/>
      <c r="M61" s="36" t="n"/>
      <c r="N61" s="36" t="n"/>
      <c r="O61" s="36" t="n"/>
      <c r="P61" s="36" t="n"/>
      <c r="Q61" s="36" t="n"/>
      <c r="R61" s="36" t="n"/>
      <c r="S61" s="36" t="n"/>
      <c r="T61" s="36" t="n"/>
      <c r="U61" s="36" t="n"/>
      <c r="V61" s="36" t="n"/>
    </row>
    <row r="62" ht="15" customHeight="1" s="23">
      <c r="A62" s="36" t="inlineStr">
        <is>
          <t>Numar colturi balcone/ etaj</t>
        </is>
      </c>
      <c r="B62" s="36" t="n"/>
      <c r="D62" s="36" t="n"/>
      <c r="E62" s="36" t="n"/>
      <c r="F62" s="36" t="n"/>
      <c r="G62" s="36" t="n"/>
      <c r="H62" s="36" t="n"/>
      <c r="I62" s="36" t="n"/>
      <c r="J62" s="36" t="n"/>
      <c r="K62" s="36" t="n"/>
      <c r="L62" s="36" t="n"/>
      <c r="M62" s="36" t="n"/>
      <c r="N62" s="36" t="n"/>
      <c r="O62" s="36" t="n"/>
      <c r="P62" s="36" t="n"/>
      <c r="Q62" s="36" t="n"/>
      <c r="R62" s="36" t="n"/>
      <c r="S62" s="36" t="n"/>
      <c r="T62" s="36" t="n"/>
      <c r="U62" s="36" t="n"/>
      <c r="V62" s="36" t="n"/>
    </row>
    <row r="63" ht="15" customHeight="1" s="23">
      <c r="A63" s="36" t="inlineStr">
        <is>
          <t>Numar colturi exterioare+interioare etaj tehnic</t>
        </is>
      </c>
      <c r="B63" s="36" t="n"/>
      <c r="D63" s="36" t="n"/>
      <c r="E63" s="36" t="n"/>
      <c r="F63" s="36" t="n"/>
      <c r="G63" s="36" t="n"/>
      <c r="H63" s="36" t="n"/>
      <c r="I63" s="36" t="n"/>
      <c r="J63" s="36" t="n"/>
      <c r="K63" s="36" t="n"/>
      <c r="L63" s="36" t="n"/>
      <c r="M63" s="36" t="n"/>
      <c r="N63" s="36" t="n"/>
      <c r="O63" s="36" t="n"/>
      <c r="P63" s="36" t="n"/>
      <c r="Q63" s="36" t="n"/>
      <c r="R63" s="36" t="n"/>
      <c r="S63" s="36" t="n"/>
      <c r="T63" s="36" t="n"/>
      <c r="U63" s="36" t="n"/>
      <c r="V63" s="36" t="n"/>
    </row>
    <row r="64" ht="15" customHeight="1" s="23">
      <c r="A64" s="43" t="inlineStr">
        <is>
          <t>Cantitate tamplarie de la bucatarii care se demonteaza</t>
        </is>
      </c>
      <c r="B64" s="43" t="n"/>
      <c r="D64" s="43" t="n"/>
      <c r="E64" s="43" t="n"/>
      <c r="F64" s="43" t="n"/>
      <c r="G64" s="43" t="n"/>
      <c r="H64" s="43" t="n"/>
      <c r="I64" s="43" t="n"/>
      <c r="J64" s="43" t="n"/>
      <c r="K64" s="43" t="n"/>
      <c r="L64" s="43" t="n"/>
      <c r="M64" s="43" t="n"/>
      <c r="N64" s="43" t="n"/>
      <c r="O64" s="43" t="n"/>
      <c r="P64" s="43" t="n"/>
      <c r="Q64" s="43" t="n"/>
      <c r="R64" s="43" t="n"/>
      <c r="S64" s="43" t="n"/>
      <c r="T64" s="43" t="n"/>
      <c r="U64" s="43" t="n"/>
      <c r="V64" s="43" t="n"/>
    </row>
    <row r="65" ht="15" customHeight="1" s="23">
      <c r="A65" s="43" t="inlineStr">
        <is>
          <t>Spaleti demontare tamplarie de la bucatarii (perimetru ferestre + usi care se demonteaza)</t>
        </is>
      </c>
      <c r="B65" s="43" t="n"/>
      <c r="D65" s="43" t="n"/>
      <c r="E65" s="43" t="n"/>
      <c r="F65" s="43" t="n"/>
      <c r="G65" s="43" t="n"/>
      <c r="H65" s="43" t="n"/>
      <c r="I65" s="43" t="n"/>
      <c r="J65" s="43" t="n"/>
      <c r="K65" s="43" t="n"/>
      <c r="L65" s="43" t="n"/>
      <c r="M65" s="43" t="n"/>
      <c r="N65" s="43" t="n"/>
      <c r="O65" s="43" t="n"/>
      <c r="P65" s="43" t="n"/>
      <c r="Q65" s="43" t="n"/>
      <c r="R65" s="43" t="n"/>
      <c r="S65" s="43" t="n"/>
      <c r="T65" s="43" t="n"/>
      <c r="U65" s="43" t="n"/>
      <c r="V65" s="43" t="n"/>
    </row>
    <row r="66" ht="15" customHeight="1" s="23">
      <c r="A66" s="36" t="inlineStr">
        <is>
          <t>Lungime cabluri fatada</t>
        </is>
      </c>
      <c r="B66" s="36" t="n">
        <v>0</v>
      </c>
      <c r="C66" t="inlineStr">
        <is>
          <t>CALCULEAZA: SUMA(CABLURI)</t>
        </is>
      </c>
      <c r="D66" s="36" t="n"/>
      <c r="E66" s="36" t="n"/>
      <c r="F66" s="36" t="n"/>
      <c r="G66" s="36" t="n"/>
      <c r="H66" s="36" t="n"/>
      <c r="I66" s="36" t="n"/>
      <c r="J66" s="36" t="n"/>
      <c r="K66" s="36" t="n"/>
      <c r="L66" s="36" t="n"/>
      <c r="M66" s="36" t="n"/>
      <c r="N66" s="36" t="n"/>
      <c r="O66" s="36" t="n"/>
      <c r="P66" s="36" t="n"/>
      <c r="Q66" s="36" t="n"/>
      <c r="R66" s="36" t="n"/>
      <c r="S66" s="36" t="n"/>
      <c r="T66" s="36" t="n"/>
      <c r="U66" s="36" t="n"/>
      <c r="V66" s="36" t="n"/>
    </row>
    <row r="67" ht="15" customHeight="1" s="23">
      <c r="A67" s="36" t="inlineStr">
        <is>
          <t>Lungime teava gaz fatada</t>
        </is>
      </c>
      <c r="B67" s="36" t="n">
        <v>0</v>
      </c>
      <c r="C67" t="inlineStr">
        <is>
          <t>CALCULEAZA: SUMA(TEAVA DE GAZ)</t>
        </is>
      </c>
      <c r="D67" s="36" t="n"/>
      <c r="E67" s="36" t="n"/>
      <c r="F67" s="36" t="n"/>
      <c r="G67" s="36" t="n"/>
      <c r="H67" s="36" t="n"/>
      <c r="I67" s="36" t="n"/>
      <c r="J67" s="36" t="n"/>
      <c r="K67" s="36" t="n"/>
      <c r="L67" s="36" t="n"/>
      <c r="M67" s="36" t="n"/>
      <c r="N67" s="36" t="n"/>
      <c r="O67" s="36" t="n"/>
      <c r="P67" s="36" t="n"/>
      <c r="Q67" s="36" t="n"/>
      <c r="R67" s="36" t="n"/>
      <c r="S67" s="36" t="n"/>
      <c r="T67" s="36" t="n"/>
      <c r="U67" s="36" t="n"/>
      <c r="V67" s="36" t="n"/>
    </row>
    <row r="68" ht="15" customHeight="1" s="23">
      <c r="A68" s="36" t="inlineStr">
        <is>
          <t>Numar contoare gaz</t>
        </is>
      </c>
      <c r="B68" s="36" t="n"/>
      <c r="D68" s="36" t="n"/>
      <c r="E68" s="36" t="n"/>
      <c r="F68" s="36" t="n"/>
      <c r="G68" s="36" t="n"/>
      <c r="H68" s="36" t="n"/>
      <c r="I68" s="36" t="n"/>
      <c r="J68" s="36" t="n"/>
      <c r="K68" s="36" t="n"/>
      <c r="L68" s="36" t="n"/>
      <c r="M68" s="36" t="n"/>
      <c r="N68" s="36" t="n"/>
      <c r="O68" s="36" t="n"/>
      <c r="P68" s="36" t="n"/>
      <c r="Q68" s="36" t="n"/>
      <c r="R68" s="36" t="n"/>
      <c r="S68" s="36" t="n"/>
      <c r="T68" s="36" t="n"/>
      <c r="U68" s="36" t="n"/>
      <c r="V68" s="36" t="n"/>
    </row>
    <row r="69" ht="15" customHeight="1" s="23">
      <c r="A69" s="36" t="inlineStr">
        <is>
          <t>Numar antene</t>
        </is>
      </c>
      <c r="B69" s="36" t="n"/>
      <c r="D69" s="36" t="n"/>
      <c r="E69" s="36" t="n"/>
      <c r="F69" s="36" t="n"/>
      <c r="G69" s="36" t="n"/>
      <c r="H69" s="36" t="n"/>
      <c r="I69" s="36" t="n"/>
      <c r="J69" s="36" t="n"/>
      <c r="K69" s="36" t="n"/>
      <c r="L69" s="36" t="n"/>
      <c r="M69" s="36" t="n"/>
      <c r="N69" s="36" t="n"/>
      <c r="O69" s="36" t="n"/>
      <c r="P69" s="36" t="n"/>
      <c r="Q69" s="36" t="n"/>
      <c r="R69" s="36" t="n"/>
      <c r="S69" s="36" t="n"/>
      <c r="T69" s="36" t="n"/>
      <c r="U69" s="36" t="n"/>
      <c r="V69" s="36" t="n"/>
    </row>
    <row r="70" ht="15" customHeight="1" s="23">
      <c r="A70" s="36" t="inlineStr">
        <is>
          <t>Numar AC</t>
        </is>
      </c>
      <c r="B70" s="36" t="n"/>
      <c r="D70" s="36" t="n"/>
      <c r="E70" s="36" t="n"/>
      <c r="F70" s="36" t="n"/>
      <c r="G70" s="36" t="n"/>
      <c r="H70" s="36" t="n"/>
      <c r="I70" s="36" t="n"/>
      <c r="J70" s="36" t="n"/>
      <c r="K70" s="36" t="n"/>
      <c r="L70" s="36" t="n"/>
      <c r="M70" s="36" t="n"/>
      <c r="N70" s="36" t="n"/>
      <c r="O70" s="36" t="n"/>
      <c r="P70" s="36" t="n"/>
      <c r="Q70" s="36" t="n"/>
      <c r="R70" s="36" t="n"/>
      <c r="S70" s="36" t="n"/>
      <c r="T70" s="36" t="n"/>
      <c r="U70" s="36" t="n"/>
      <c r="V70" s="36" t="n"/>
    </row>
    <row r="71" ht="15" customHeight="1" s="23">
      <c r="A71" s="36" t="inlineStr">
        <is>
          <t>Numar interfoane</t>
        </is>
      </c>
      <c r="B71" s="36" t="n"/>
      <c r="D71" s="36" t="n"/>
      <c r="E71" s="36" t="n"/>
      <c r="F71" s="36" t="n"/>
      <c r="G71" s="36" t="n"/>
      <c r="H71" s="36" t="n"/>
      <c r="I71" s="36" t="n"/>
      <c r="J71" s="36" t="n"/>
      <c r="K71" s="36" t="n"/>
      <c r="L71" s="36" t="n"/>
      <c r="M71" s="36" t="n"/>
      <c r="N71" s="36" t="n"/>
      <c r="O71" s="36" t="n"/>
      <c r="P71" s="36" t="n"/>
      <c r="Q71" s="36" t="n"/>
      <c r="R71" s="36" t="n"/>
      <c r="S71" s="36" t="n"/>
      <c r="T71" s="36" t="n"/>
      <c r="U71" s="36" t="n"/>
      <c r="V71" s="36" t="n"/>
    </row>
    <row r="72" ht="15" customHeight="1" s="23">
      <c r="A72" s="39" t="inlineStr">
        <is>
          <t>Cantitate usi interioare care se inlocuiesc</t>
        </is>
      </c>
      <c r="B72" s="39" t="n"/>
      <c r="D72" s="39" t="n"/>
      <c r="E72" s="39" t="n"/>
      <c r="F72" s="39" t="n"/>
      <c r="G72" s="39" t="n"/>
      <c r="H72" s="39" t="n"/>
      <c r="I72" s="39" t="n"/>
      <c r="J72" s="39" t="n"/>
      <c r="K72" s="39" t="n"/>
      <c r="L72" s="39" t="n"/>
      <c r="M72" s="39" t="n"/>
      <c r="N72" s="39" t="n"/>
      <c r="O72" s="39" t="n"/>
      <c r="P72" s="39" t="n"/>
      <c r="Q72" s="39" t="n"/>
      <c r="R72" s="39" t="n"/>
      <c r="S72" s="39" t="n"/>
      <c r="T72" s="39" t="n"/>
      <c r="U72" s="39" t="n"/>
      <c r="V72" s="39" t="n"/>
    </row>
    <row r="73" ht="15" customHeight="1" s="23">
      <c r="A73" s="39" t="inlineStr">
        <is>
          <t>Spaleti usi interioare care se inlocuiesc</t>
        </is>
      </c>
      <c r="B73" s="39" t="n"/>
      <c r="D73" s="39" t="n"/>
      <c r="E73" s="39" t="n"/>
      <c r="F73" s="39" t="n"/>
      <c r="G73" s="39" t="n"/>
      <c r="H73" s="39" t="n"/>
      <c r="I73" s="39" t="n"/>
      <c r="J73" s="39" t="n"/>
      <c r="K73" s="39" t="n"/>
      <c r="L73" s="39" t="n"/>
      <c r="M73" s="39" t="n"/>
      <c r="N73" s="39" t="n"/>
      <c r="O73" s="39" t="n"/>
      <c r="P73" s="39" t="n"/>
      <c r="Q73" s="39" t="n"/>
      <c r="R73" s="39" t="n"/>
      <c r="S73" s="39" t="n"/>
      <c r="T73" s="39" t="n"/>
      <c r="U73" s="39" t="n"/>
      <c r="V73" s="39" t="n"/>
    </row>
    <row r="74"/>
    <row r="75" ht="15" customHeight="1" s="23">
      <c r="A75" s="44" t="inlineStr">
        <is>
          <t>Lungime Suprainaltare de atic/centura terasa</t>
        </is>
      </c>
      <c r="B75" t="n">
        <v>0</v>
      </c>
      <c r="C75" t="inlineStr">
        <is>
          <t>scrie valoarea din celula D7</t>
        </is>
      </c>
    </row>
    <row r="76" ht="15" customHeight="1" s="23">
      <c r="A76" s="44" t="inlineStr">
        <is>
          <t>Lungime Suprainaltare de atic/centura etaj tehnic</t>
        </is>
      </c>
      <c r="B76" t="n">
        <v>0</v>
      </c>
      <c r="C76" t="inlineStr">
        <is>
          <t>scrie valoarea din celula D9</t>
        </is>
      </c>
    </row>
    <row r="77" ht="15" customHeight="1" s="23">
      <c r="A77" s="44" t="inlineStr">
        <is>
          <t>Latime atic/centura terasa</t>
        </is>
      </c>
      <c r="B77" t="n">
        <v>0</v>
      </c>
      <c r="C77" t="inlineStr">
        <is>
          <t>scrie valoarea 0,35</t>
        </is>
      </c>
    </row>
    <row r="78" ht="15" customHeight="1" s="23">
      <c r="A78" s="44" t="inlineStr">
        <is>
          <t>Inaltime atic/centura terasa</t>
        </is>
      </c>
      <c r="B78" t="n">
        <v>0</v>
      </c>
      <c r="C78" t="inlineStr">
        <is>
          <t>scrie valoarea din celula D13</t>
        </is>
      </c>
    </row>
    <row r="79" ht="15" customHeight="1" s="23">
      <c r="A79" s="44" t="inlineStr">
        <is>
          <t>Latime atic/centura Etaj tehnic</t>
        </is>
      </c>
      <c r="B79" t="n">
        <v>0</v>
      </c>
      <c r="C79" t="inlineStr">
        <is>
          <t>scrie valoarea 0,35</t>
        </is>
      </c>
    </row>
    <row r="80" ht="15" customHeight="1" s="23">
      <c r="A80" s="44" t="inlineStr">
        <is>
          <t>Inaltime atic/centura etaj tehnic</t>
        </is>
      </c>
      <c r="B80" t="n">
        <v>0</v>
      </c>
      <c r="C80" t="inlineStr">
        <is>
          <t>scrie valoarea din celula D13</t>
        </is>
      </c>
    </row>
    <row r="81"/>
    <row r="82" ht="15" customHeight="1" s="23">
      <c r="A82" s="44" t="n"/>
    </row>
    <row r="83" ht="15" customHeight="1" s="23">
      <c r="A83" s="45" t="inlineStr">
        <is>
          <t>procent</t>
        </is>
      </c>
      <c r="B83" s="46" t="n">
        <v>1.05</v>
      </c>
      <c r="E83" s="46" t="n"/>
    </row>
    <row r="84"/>
    <row r="85">
      <c r="A85" t="inlineStr">
        <is>
          <t>Suprafata intrados balcon; zone retrase</t>
        </is>
      </c>
      <c r="B85" t="n">
        <v>0</v>
      </c>
      <c r="C85" t="inlineStr">
        <is>
          <t>CALCULEAZA: SUMA(SUPRAFATA INTRADOS BALCON) + SUMA(SUPRAFATA ZONE RETRASE)</t>
        </is>
      </c>
    </row>
    <row r="86">
      <c r="A86" t="inlineStr">
        <is>
          <t xml:space="preserve">Rost de dilatare vertical </t>
        </is>
      </c>
      <c r="B86" t="n">
        <v>0</v>
      </c>
      <c r="C86" t="inlineStr">
        <is>
          <t>CALCULEAZA: SUMA(ROST DE DILATARE VERTICAL)</t>
        </is>
      </c>
    </row>
    <row r="87">
      <c r="A87" t="inlineStr">
        <is>
          <t>Glaf ferestre spatii comune</t>
        </is>
      </c>
      <c r="B87" t="n">
        <v>0</v>
      </c>
      <c r="C87" t="inlineStr">
        <is>
          <t>CALCULEAZA: SUMA(LATIME FERESTRE SC INLOC)</t>
        </is>
      </c>
    </row>
    <row r="88">
      <c r="A88" t="inlineStr">
        <is>
          <t>Glaf fereastra spatii individuale</t>
        </is>
      </c>
      <c r="B88" t="n">
        <v>0</v>
      </c>
      <c r="C88" t="inlineStr">
        <is>
          <t>CALCULEAZA: SUMA(LATIME FERESTRE SI INLOC)</t>
        </is>
      </c>
    </row>
    <row r="89">
      <c r="A89" t="inlineStr">
        <is>
          <t xml:space="preserve">Rost de dilatare orizontal </t>
        </is>
      </c>
      <c r="B89" t="n">
        <v>0</v>
      </c>
      <c r="C89" t="inlineStr">
        <is>
          <t>CALCULEAZA: SUMA(ROST DE DILATARE ORIZONTAL)</t>
        </is>
      </c>
    </row>
    <row r="90">
      <c r="A90" t="inlineStr">
        <is>
          <t>Copertine propuse panou tristrat</t>
        </is>
      </c>
      <c r="B90" t="n">
        <v>0</v>
      </c>
      <c r="C90" t="inlineStr">
        <is>
          <t>CALCULEAZA: SUMA( COPERTINE PANOU TRISTRAT)</t>
        </is>
      </c>
    </row>
    <row r="91">
      <c r="A91" t="inlineStr">
        <is>
          <t xml:space="preserve">Elemente decorative parapet balcon </t>
        </is>
      </c>
      <c r="C91" t="inlineStr">
        <is>
          <t>CALCULEAZA: SUMA( ELEMENTE DECORATIVE PARAPET EXISTENT)</t>
        </is>
      </c>
    </row>
    <row r="92">
      <c r="A92" t="inlineStr">
        <is>
          <t xml:space="preserve">Suprafata pereti casa scarii </t>
        </is>
      </c>
      <c r="C92" t="inlineStr">
        <is>
          <t>CALCULEAZA: SUMA ( PERETI CASA SCARII)</t>
        </is>
      </c>
    </row>
    <row r="93">
      <c r="A93" t="inlineStr">
        <is>
          <t xml:space="preserve">Suprafata tavane casa scarii </t>
        </is>
      </c>
      <c r="C93" t="inlineStr">
        <is>
          <t>CALCULEAZA: SUMA ( TAVANE CASA SCARII)</t>
        </is>
      </c>
    </row>
    <row r="94">
      <c r="A94" t="inlineStr">
        <is>
          <t>Suprafata caramida aparenta</t>
        </is>
      </c>
      <c r="C94" t="inlineStr">
        <is>
          <t>CALCULEAZA: SUMA ( CARAMIDA APARENTA)</t>
        </is>
      </c>
    </row>
    <row r="95">
      <c r="A95" t="inlineStr">
        <is>
          <t>Suprafata copertine zone de acces</t>
        </is>
      </c>
      <c r="C95" t="inlineStr">
        <is>
          <t>CALCULEAZA: SUMA ( COPERTINE ZONE DE ACCES)</t>
        </is>
      </c>
    </row>
    <row r="96">
      <c r="A96" t="inlineStr">
        <is>
          <t>Balustrada metalica cu montanti verticali, hp=90 cm</t>
        </is>
      </c>
      <c r="C96" t="inlineStr">
        <is>
          <t>CALCULEAZA: SUMA ( BALUSTRADA METALICA CU MONTANTI VERTICALI)</t>
        </is>
      </c>
    </row>
  </sheetData>
  <pageMargins left="0.25" right="0.25" top="0.75" bottom="0.75" header="0.511811023622047" footer="0.511811023622047"/>
  <pageSetup orientation="portrait" paperSize="9" fitToHeight="0" horizontalDpi="300" verticalDpi="300"/>
</worksheet>
</file>

<file path=xl/worksheets/sheet4.xml><?xml version="1.0" encoding="utf-8"?>
<worksheet xmlns="http://schemas.openxmlformats.org/spreadsheetml/2006/main">
  <sheetPr>
    <outlinePr summaryBelow="1" summaryRight="1"/>
    <pageSetUpPr/>
  </sheetPr>
  <dimension ref="A1:S7"/>
  <sheetViews>
    <sheetView zoomScaleNormal="100" workbookViewId="0">
      <pane xSplit="1" ySplit="3" topLeftCell="B4" activePane="bottomRight" state="frozen"/>
      <selection pane="topRight" activeCell="B1" sqref="B1"/>
      <selection pane="bottomLeft" activeCell="A4" sqref="A4"/>
      <selection pane="bottomRight" activeCell="G5" sqref="G5"/>
    </sheetView>
  </sheetViews>
  <sheetFormatPr baseColWidth="8" defaultColWidth="9.109375" defaultRowHeight="14.4"/>
  <cols>
    <col width="4.44140625" customWidth="1" style="280" min="1" max="1"/>
    <col width="10.88671875" customWidth="1" style="280" min="2" max="2"/>
    <col width="54.6640625" customWidth="1" style="280" min="3" max="3"/>
    <col width="10.88671875" customWidth="1" style="280" min="4" max="6"/>
    <col width="9.109375" customWidth="1" style="280" min="7" max="13"/>
    <col width="10.6640625" customWidth="1" style="280" min="14" max="14"/>
    <col width="9.109375" customWidth="1" style="280" min="15" max="257"/>
  </cols>
  <sheetData>
    <row r="1" ht="30" customFormat="1" customHeight="1" s="263">
      <c r="B1" s="22">
        <f>'Structura Investitie'!D4</f>
        <v/>
      </c>
      <c r="C1" s="22">
        <f>'Structura Investitie'!C4</f>
        <v/>
      </c>
    </row>
    <row r="2" ht="15.75" customFormat="1" customHeight="1" s="263">
      <c r="D2" s="22" t="n"/>
      <c r="E2" s="22" t="n"/>
    </row>
    <row r="3" ht="57.75" customFormat="1" customHeight="1" s="263">
      <c r="A3" s="47">
        <f>"NrCrt"</f>
        <v/>
      </c>
      <c r="B3" s="48">
        <f>"Simbol"</f>
        <v/>
      </c>
      <c r="C3" s="48" t="inlineStr">
        <is>
          <t>Denumire</t>
        </is>
      </c>
      <c r="D3" s="48">
        <f>"UM"</f>
        <v/>
      </c>
      <c r="E3" s="48">
        <f>"Consum"</f>
        <v/>
      </c>
      <c r="F3" s="48">
        <f>"Cantitate"</f>
        <v/>
      </c>
      <c r="G3" s="49">
        <f>'Date cladire'!B2</f>
        <v/>
      </c>
      <c r="H3" s="49">
        <f>'Date cladire'!D2</f>
        <v/>
      </c>
      <c r="I3" s="49" t="n"/>
      <c r="J3" s="49" t="n"/>
      <c r="K3" s="49" t="n"/>
      <c r="L3" s="49" t="n"/>
      <c r="M3" s="49" t="n"/>
      <c r="N3" s="49" t="n"/>
      <c r="O3" s="49" t="n"/>
      <c r="P3" s="49" t="n"/>
      <c r="Q3" s="49" t="n"/>
      <c r="R3" s="49" t="n"/>
      <c r="S3" s="49" t="n"/>
    </row>
    <row r="4" ht="27.75" customFormat="1" customHeight="1" s="263">
      <c r="A4" s="67">
        <f>"2"</f>
        <v/>
      </c>
      <c r="B4" s="13">
        <f>"0001745"</f>
        <v/>
      </c>
      <c r="C4" s="13" t="inlineStr">
        <is>
          <t>Racord electric pentru statie de incarcare masini electrice de min 22kw</t>
        </is>
      </c>
      <c r="D4" s="13">
        <f>"buc"</f>
        <v/>
      </c>
      <c r="E4" s="210" t="inlineStr">
        <is>
          <t>1.0</t>
        </is>
      </c>
      <c r="F4" s="211">
        <f>E4</f>
        <v/>
      </c>
      <c r="G4" s="263">
        <f>'Date cladire'!B49</f>
        <v/>
      </c>
      <c r="H4">
        <f>'Date cladire'!D49</f>
        <v/>
      </c>
    </row>
    <row r="5" ht="27" customFormat="1" customHeight="1" s="263">
      <c r="A5" s="67">
        <f>"3"</f>
        <v/>
      </c>
      <c r="B5" s="13">
        <f>"0001746"</f>
        <v/>
      </c>
      <c r="C5" s="13" t="inlineStr">
        <is>
          <t xml:space="preserve">Racord date pentru statia de incarcare electrica masini </t>
        </is>
      </c>
      <c r="D5" s="13">
        <f>"buc"</f>
        <v/>
      </c>
      <c r="E5" s="210" t="inlineStr">
        <is>
          <t>1.0</t>
        </is>
      </c>
      <c r="F5" s="211">
        <f>E5</f>
        <v/>
      </c>
      <c r="G5" s="263">
        <f>'Date cladire'!B49</f>
        <v/>
      </c>
      <c r="H5">
        <f>'Date cladire'!D49</f>
        <v/>
      </c>
    </row>
    <row r="7" ht="15" customHeight="1" s="23">
      <c r="C7" s="50" t="inlineStr">
        <is>
          <t>(nu prindem statii chiar daca sunt, se prind separat)</t>
        </is>
      </c>
    </row>
  </sheetData>
  <pageMargins left="0.7" right="0.7" top="0.75" bottom="0.75" header="0.511811023622047" footer="0.511811023622047"/>
  <pageSetup orientation="portrait" paperSize="9" horizontalDpi="300" verticalDpi="300"/>
</worksheet>
</file>

<file path=xl/worksheets/sheet5.xml><?xml version="1.0" encoding="utf-8"?>
<worksheet xmlns="http://schemas.openxmlformats.org/spreadsheetml/2006/main">
  <sheetPr>
    <outlinePr summaryBelow="1" summaryRight="1"/>
    <pageSetUpPr/>
  </sheetPr>
  <dimension ref="A1:S97"/>
  <sheetViews>
    <sheetView zoomScaleNormal="100" workbookViewId="0">
      <pane xSplit="1" ySplit="3" topLeftCell="B4" activePane="bottomRight" state="frozen"/>
      <selection pane="topRight" activeCell="B1" sqref="B1"/>
      <selection pane="bottomLeft" activeCell="A4" sqref="A4"/>
      <selection pane="bottomRight" activeCell="E2" sqref="E2"/>
    </sheetView>
  </sheetViews>
  <sheetFormatPr baseColWidth="8" defaultColWidth="9.109375" defaultRowHeight="14.4"/>
  <cols>
    <col width="6.6640625" customWidth="1" style="51" min="1" max="1"/>
    <col width="11.5546875" customWidth="1" style="280" min="2" max="2"/>
    <col width="56.5546875" customWidth="1" style="280" min="3" max="3"/>
    <col width="10.88671875" customWidth="1" style="280" min="4" max="6"/>
    <col width="9.109375" customWidth="1" style="280" min="7" max="13"/>
    <col width="10.6640625" customWidth="1" style="280" min="14" max="14"/>
    <col width="9.109375" customWidth="1" style="280" min="15" max="257"/>
  </cols>
  <sheetData>
    <row r="1" ht="30" customFormat="1" customHeight="1" s="263">
      <c r="A1" s="128" t="n"/>
      <c r="B1" s="22">
        <f>'Structura Investitie'!D6</f>
        <v/>
      </c>
      <c r="C1" s="22">
        <f>'Structura Investitie'!C6</f>
        <v/>
      </c>
    </row>
    <row r="2" ht="15" customFormat="1" customHeight="1" s="263">
      <c r="A2" s="128" t="n"/>
      <c r="D2" s="22">
        <f>'Date cladire'!A83</f>
        <v/>
      </c>
      <c r="E2" s="22">
        <f>'Date cladire'!B83</f>
        <v/>
      </c>
    </row>
    <row r="3" ht="37.5" customFormat="1" customHeight="1" s="263">
      <c r="A3" s="48">
        <f>"NrCrt"</f>
        <v/>
      </c>
      <c r="B3" s="48">
        <f>"Simbol"</f>
        <v/>
      </c>
      <c r="C3" s="48" t="inlineStr">
        <is>
          <t>Denumire</t>
        </is>
      </c>
      <c r="D3" s="48">
        <f>"UM"</f>
        <v/>
      </c>
      <c r="E3" s="48">
        <f>"Consum"</f>
        <v/>
      </c>
      <c r="F3" s="48">
        <f>"Cantitate"</f>
        <v/>
      </c>
      <c r="G3" s="49">
        <f>'Date cladire'!B2</f>
        <v/>
      </c>
      <c r="H3" s="49">
        <f>'Date cladire'!D2</f>
        <v/>
      </c>
      <c r="I3" s="49" t="n"/>
      <c r="J3" s="49" t="n"/>
      <c r="K3" s="49" t="n"/>
      <c r="L3" s="49" t="n"/>
      <c r="M3" s="49" t="n"/>
      <c r="N3" s="49" t="n"/>
      <c r="O3" s="49" t="n"/>
      <c r="P3" s="49" t="n"/>
      <c r="Q3" s="49" t="n"/>
      <c r="R3" s="49" t="n"/>
      <c r="S3" s="49" t="n"/>
    </row>
    <row r="4" ht="27" customFormat="1" customHeight="1" s="263">
      <c r="A4" s="12">
        <f>"1"</f>
        <v/>
      </c>
      <c r="B4" s="13">
        <f>"RPCT33A1 [18]"</f>
        <v/>
      </c>
      <c r="C4" s="13" t="inlineStr">
        <is>
          <t xml:space="preserve">Demontarea usilor si ferestrelor din lemn, metal sau PVC </t>
        </is>
      </c>
      <c r="D4" s="13">
        <f>"mp"</f>
        <v/>
      </c>
      <c r="E4" s="210" t="inlineStr">
        <is>
          <t>1.0</t>
        </is>
      </c>
      <c r="F4" s="211">
        <f>E4</f>
        <v/>
      </c>
      <c r="G4" s="52">
        <f>$E$2*('Date cladire'!B32+'Date cladire'!B33)</f>
        <v/>
      </c>
      <c r="H4">
        <f>$E$2*('Date cladire'!D32+'Date cladire'!D33)</f>
        <v/>
      </c>
    </row>
    <row r="5" ht="135" customFormat="1" customHeight="1" s="263">
      <c r="A5" s="12">
        <f>"2"</f>
        <v/>
      </c>
      <c r="B5" s="13" t="inlineStr">
        <is>
          <t>+CK01A2 [10]</t>
        </is>
      </c>
      <c r="C5" s="53" t="inlineStr">
        <is>
          <t>Ferestre performante energetic din PVC cu geam termoizolant cu coeficient de transfer termic de max. 1,1 W/m2K, deschideri oscilobatante, dotate cu fante de circulatie controlata a aerului
- 0002447 Fereastra performanta energetic din PVC cu geam termoizolant cu coeficient de transfer termic maxim 1,1 W/m2K, deschideri oscilobatante, dotata cu fante pentru aerisirea controlata a spatiilor</t>
        </is>
      </c>
      <c r="D5" s="13">
        <f>"mp"</f>
        <v/>
      </c>
      <c r="E5" s="210" t="inlineStr">
        <is>
          <t>1.0</t>
        </is>
      </c>
      <c r="F5" s="211">
        <f>E5</f>
        <v/>
      </c>
      <c r="G5" s="52">
        <f>$E$2*('Date cladire'!B32)</f>
        <v/>
      </c>
      <c r="H5">
        <f>$E$2*('Date cladire'!D32)</f>
        <v/>
      </c>
    </row>
    <row r="6" ht="108" customFormat="1" customHeight="1" s="263">
      <c r="A6" s="12">
        <f>"3"</f>
        <v/>
      </c>
      <c r="B6" s="13" t="inlineStr">
        <is>
          <t>+CK02A1 [18]</t>
        </is>
      </c>
      <c r="C6" s="53" t="inlineStr">
        <is>
          <t>Usi performante energetic din PVC cu geam termoizolant cu coeficient de transfer termic de max. 1,1 W/m2K, dotate cu fante de circulatie controlata a aerului
-0002488 - Usa performanta energetic din PVC cu geam termoizolant cu coeficient de transfer termic maxim 1,1 W/m2K, dotata cu fante pentru aerisirea controlata a spatiilor</t>
        </is>
      </c>
      <c r="D6" s="13">
        <f>"mp"</f>
        <v/>
      </c>
      <c r="E6" s="210" t="inlineStr">
        <is>
          <t>1.0</t>
        </is>
      </c>
      <c r="F6" s="211">
        <f>E6</f>
        <v/>
      </c>
      <c r="G6" s="52">
        <f>$E$2*'Date cladire'!B33</f>
        <v/>
      </c>
      <c r="H6">
        <f>$E$2*'Date cladire'!D33</f>
        <v/>
      </c>
    </row>
    <row r="7" ht="81" customFormat="1" customHeight="1" s="263">
      <c r="A7" s="12" t="n">
        <v>4</v>
      </c>
      <c r="B7" s="15" t="inlineStr">
        <is>
          <t xml:space="preserve">CK19A# [1] </t>
        </is>
      </c>
      <c r="C7" s="15" t="inlineStr">
        <is>
          <t xml:space="preserve"> Ferestre aluminiu cu unul sau mai multe canaturi, cu un rand de sticla suprafata tocului...&lt;= 3,00 mp,la constructii cu h&lt;= 35 m
 -    2500381 - Fereastra cu deschidere spre interior din profile de aluminiu cu un rand sticla</t>
        </is>
      </c>
      <c r="D7" s="54">
        <f>"mp"</f>
        <v/>
      </c>
      <c r="E7" s="212" t="n"/>
      <c r="F7" s="213" t="n"/>
      <c r="G7" s="55">
        <f>$E$2*0</f>
        <v/>
      </c>
      <c r="H7" s="56" t="n"/>
      <c r="I7" s="56" t="n"/>
      <c r="J7" s="56" t="n"/>
      <c r="K7" s="56" t="n"/>
      <c r="L7" s="56" t="n"/>
      <c r="M7" s="56" t="n"/>
      <c r="N7" s="56" t="n"/>
      <c r="O7" s="56" t="n"/>
    </row>
    <row r="8" ht="27" customFormat="1" customHeight="1" s="263">
      <c r="A8" s="12" t="n">
        <v>5</v>
      </c>
      <c r="B8" s="13">
        <f>"RPCT33A1 [17]"</f>
        <v/>
      </c>
      <c r="C8" s="13" t="inlineStr">
        <is>
          <t>Demontarea chepeng acces in pod sau pe terasa</t>
        </is>
      </c>
      <c r="D8" s="13">
        <f>"mp"</f>
        <v/>
      </c>
      <c r="E8" s="210" t="inlineStr">
        <is>
          <t>1.0</t>
        </is>
      </c>
      <c r="F8" s="211">
        <f>E8</f>
        <v/>
      </c>
      <c r="G8" s="55" t="n">
        <v>1</v>
      </c>
      <c r="H8" s="56" t="n"/>
      <c r="I8" s="56" t="n"/>
      <c r="J8" s="56" t="n"/>
      <c r="K8" s="56" t="n"/>
      <c r="L8" s="56" t="n"/>
      <c r="M8" s="56" t="n"/>
      <c r="N8" s="56" t="n"/>
      <c r="O8" s="56" t="n"/>
      <c r="P8" s="56" t="n"/>
    </row>
    <row r="9" ht="40.5" customFormat="1" customHeight="1" s="263">
      <c r="A9" s="12" t="n">
        <v>6</v>
      </c>
      <c r="B9" s="13">
        <f>"CO14A# [4]"</f>
        <v/>
      </c>
      <c r="C9" s="13" t="inlineStr">
        <is>
          <t xml:space="preserve">Chepeng pentru acces pe terasa - montare 
- 0001227  Chepeng acces terasa suprafata de
min 1mp </t>
        </is>
      </c>
      <c r="D9" s="13">
        <f>"buc"</f>
        <v/>
      </c>
      <c r="E9" s="210" t="inlineStr">
        <is>
          <t>1.0</t>
        </is>
      </c>
      <c r="F9" s="211">
        <f>E9</f>
        <v/>
      </c>
      <c r="G9" s="55" t="n">
        <v>1</v>
      </c>
      <c r="H9" s="56" t="n"/>
      <c r="I9" s="56" t="n"/>
      <c r="J9" s="56" t="n"/>
      <c r="K9" s="56" t="n"/>
      <c r="L9" s="56" t="n"/>
      <c r="M9" s="56" t="n"/>
      <c r="N9" s="56" t="n"/>
      <c r="O9" s="56" t="n"/>
      <c r="P9" s="56" t="n"/>
    </row>
    <row r="10" ht="67.5" customFormat="1" customHeight="1" s="263">
      <c r="A10" s="12" t="n">
        <v>7</v>
      </c>
      <c r="B10" s="13">
        <f>"CO14A# [1]"</f>
        <v/>
      </c>
      <c r="C10" s="13" t="inlineStr">
        <is>
          <t>Chepeng cu rezistenta la foc min 60 minute dimensiunea 1x1m montat pentru acces in pod  
- 6312122 Chepeng acces pod cu rezistenta la foc
min 60 minute dimensiunea 1x1m</t>
        </is>
      </c>
      <c r="D10" s="13">
        <f>"buc"</f>
        <v/>
      </c>
      <c r="E10" s="210" t="inlineStr">
        <is>
          <t>1.0</t>
        </is>
      </c>
      <c r="F10" s="211">
        <f>E10</f>
        <v/>
      </c>
      <c r="G10" s="55">
        <f>1.1*'Date cladire'!B50</f>
        <v/>
      </c>
      <c r="H10" s="56">
        <f>1.1*'Date cladire'!D50</f>
        <v/>
      </c>
      <c r="I10" s="56" t="n"/>
      <c r="J10" s="56" t="n"/>
      <c r="K10" s="56" t="n"/>
      <c r="L10" s="56" t="n"/>
      <c r="M10" s="56" t="n"/>
      <c r="N10" s="56" t="n"/>
      <c r="O10" s="56" t="n"/>
      <c r="P10" s="56" t="n"/>
    </row>
    <row r="11" ht="40.5" customFormat="1" customHeight="1" s="263">
      <c r="A11" s="12" t="n">
        <v>8</v>
      </c>
      <c r="B11" s="13">
        <f>"CK22XC [1]"</f>
        <v/>
      </c>
      <c r="C11" s="13" t="inlineStr">
        <is>
          <t xml:space="preserve">Montare dispozitiv autoinchidere la usi
- 4203897 Dispozitiv de autoinchidere pentru usi </t>
        </is>
      </c>
      <c r="D11" s="13">
        <f>"buc"</f>
        <v/>
      </c>
      <c r="E11" s="210" t="inlineStr">
        <is>
          <t>1.0</t>
        </is>
      </c>
      <c r="F11" s="211">
        <f>E11</f>
        <v/>
      </c>
      <c r="G11" s="55" t="n">
        <v>0</v>
      </c>
      <c r="H11" s="56" t="n"/>
      <c r="I11" s="56" t="n"/>
      <c r="J11" s="56" t="n"/>
      <c r="K11" s="56" t="n"/>
      <c r="L11" s="56" t="n"/>
      <c r="M11" s="56" t="n"/>
      <c r="N11" s="57" t="inlineStr">
        <is>
          <t>si la subsol punem</t>
        </is>
      </c>
      <c r="O11" s="56" t="n"/>
      <c r="P11" s="56" t="n"/>
    </row>
    <row r="12" ht="40.5" customFormat="1" customHeight="1" s="263">
      <c r="A12" s="12" t="n">
        <v>9</v>
      </c>
      <c r="B12" s="13">
        <f>"TRA02A10"</f>
        <v/>
      </c>
      <c r="C12" s="13" t="inlineStr">
        <is>
          <t xml:space="preserve">Transportul rutier al materialelor,semifabricatelor cu autocamionul pe dist.= ...10 km.  </t>
        </is>
      </c>
      <c r="D12" s="13">
        <f>"tona"</f>
        <v/>
      </c>
      <c r="E12" s="210" t="inlineStr">
        <is>
          <t>1.0</t>
        </is>
      </c>
      <c r="F12" s="211">
        <f>E12</f>
        <v/>
      </c>
      <c r="G12" s="52">
        <f>(G4*30+G5*60+G6*60+G7*50+G8*75+G9*90+G10*90)/1000</f>
        <v/>
      </c>
    </row>
    <row r="13" ht="40.5" customFormat="1" customHeight="1" s="263">
      <c r="A13" s="12" t="n">
        <v>10</v>
      </c>
      <c r="B13" s="13">
        <f>"TRI1AC13E1"</f>
        <v/>
      </c>
      <c r="C13" s="13" t="inlineStr">
        <is>
          <t>Descarcare...materiale gr.c-ambalate,10-50 kg deplas.prin purtare pina la 10m,asez..auto-rampa,teren ctg</t>
        </is>
      </c>
      <c r="D13" s="13">
        <f>"tona"</f>
        <v/>
      </c>
      <c r="E13" s="210" t="inlineStr">
        <is>
          <t>1.0</t>
        </is>
      </c>
      <c r="F13" s="211">
        <f>E13</f>
        <v/>
      </c>
      <c r="G13" s="52">
        <f>G12</f>
        <v/>
      </c>
    </row>
    <row r="14" ht="40.5" customFormat="1" customHeight="1" s="263">
      <c r="A14" s="12">
        <f>"10"</f>
        <v/>
      </c>
      <c r="B14" s="13">
        <f>"TRB05A22"</f>
        <v/>
      </c>
      <c r="C14" s="13" t="inlineStr">
        <is>
          <t xml:space="preserve">Transportul materialelor prin purtat direct.materiale...incomode sub 25 kg distanta 20m  </t>
        </is>
      </c>
      <c r="D14" s="13">
        <f>"tona"</f>
        <v/>
      </c>
      <c r="E14" s="210" t="inlineStr">
        <is>
          <t>1.0</t>
        </is>
      </c>
      <c r="F14" s="211">
        <f>E14</f>
        <v/>
      </c>
      <c r="G14" s="52">
        <f>G12</f>
        <v/>
      </c>
    </row>
    <row r="15" ht="15" customFormat="1" customHeight="1" s="263">
      <c r="A15" s="280" t="n"/>
      <c r="C15" s="280" t="n"/>
    </row>
    <row r="16" ht="15" customFormat="1" customHeight="1" s="263">
      <c r="A16" s="280" t="n"/>
      <c r="D16" s="58" t="n"/>
    </row>
    <row r="17" ht="15" customHeight="1" s="23">
      <c r="A17" s="280" t="n"/>
    </row>
    <row r="18" ht="15" customHeight="1" s="23">
      <c r="A18" s="280" t="n"/>
    </row>
    <row r="19" ht="15" customHeight="1" s="23">
      <c r="A19" s="280" t="n"/>
    </row>
    <row r="20" ht="15" customHeight="1" s="23">
      <c r="A20" s="280" t="n"/>
    </row>
    <row r="21" ht="15" customHeight="1" s="23">
      <c r="A21" s="280" t="n"/>
    </row>
    <row r="22" ht="15" customHeight="1" s="23">
      <c r="A22" s="280" t="n"/>
    </row>
    <row r="23" ht="15" customHeight="1" s="23">
      <c r="A23" s="280" t="n"/>
    </row>
    <row r="24" ht="15" customHeight="1" s="23">
      <c r="A24" s="280" t="n"/>
    </row>
    <row r="25" ht="15" customHeight="1" s="23">
      <c r="A25" s="280" t="n"/>
    </row>
    <row r="26" ht="15" customHeight="1" s="23">
      <c r="A26" s="280" t="n"/>
    </row>
    <row r="27" ht="15" customHeight="1" s="23">
      <c r="A27" s="280" t="n"/>
    </row>
    <row r="28" ht="15" customHeight="1" s="23">
      <c r="A28" s="280" t="n"/>
    </row>
    <row r="29" ht="15" customHeight="1" s="23">
      <c r="A29" s="280" t="n"/>
    </row>
    <row r="30" ht="15" customHeight="1" s="23">
      <c r="A30" s="280" t="n"/>
    </row>
    <row r="31" ht="15" customHeight="1" s="23">
      <c r="A31" s="280" t="n"/>
    </row>
    <row r="32" ht="15" customHeight="1" s="23">
      <c r="A32" s="280" t="n"/>
    </row>
    <row r="33" ht="15" customHeight="1" s="23">
      <c r="A33" s="280" t="n"/>
    </row>
    <row r="34" ht="15" customHeight="1" s="23">
      <c r="A34" s="280" t="n"/>
    </row>
    <row r="35" ht="15" customHeight="1" s="23">
      <c r="A35" s="280" t="n"/>
    </row>
    <row r="36" ht="15" customHeight="1" s="23">
      <c r="A36" s="280" t="n"/>
    </row>
    <row r="37" ht="15" customHeight="1" s="23">
      <c r="A37" s="280" t="n"/>
    </row>
    <row r="38" ht="15" customHeight="1" s="23">
      <c r="A38" s="280" t="n"/>
    </row>
    <row r="39" ht="15" customHeight="1" s="23">
      <c r="A39" s="280" t="n"/>
    </row>
    <row r="40" ht="15" customHeight="1" s="23">
      <c r="A40" s="280" t="n"/>
    </row>
    <row r="41" ht="15" customHeight="1" s="23">
      <c r="A41" s="280" t="n"/>
    </row>
    <row r="42" ht="15" customHeight="1" s="23">
      <c r="A42" s="280" t="n"/>
    </row>
    <row r="43" ht="15" customHeight="1" s="23">
      <c r="A43" s="280" t="n"/>
    </row>
    <row r="44" ht="15" customHeight="1" s="23">
      <c r="A44" s="280" t="n"/>
    </row>
    <row r="45" ht="15" customHeight="1" s="23">
      <c r="A45" s="280" t="n"/>
    </row>
    <row r="46" ht="15" customHeight="1" s="23">
      <c r="A46" s="280" t="n"/>
    </row>
    <row r="47" ht="15" customHeight="1" s="23">
      <c r="A47" s="280" t="n"/>
    </row>
    <row r="48" ht="15" customHeight="1" s="23">
      <c r="A48" s="280" t="n"/>
    </row>
    <row r="49" ht="15" customHeight="1" s="23">
      <c r="A49" s="280" t="n"/>
    </row>
    <row r="50" ht="15" customHeight="1" s="23">
      <c r="A50" s="280" t="n"/>
    </row>
    <row r="51" ht="15" customHeight="1" s="23">
      <c r="A51" s="280" t="n"/>
    </row>
    <row r="52" ht="15" customHeight="1" s="23">
      <c r="A52" s="280" t="n"/>
    </row>
    <row r="53" ht="15" customHeight="1" s="23">
      <c r="A53" s="280" t="n"/>
    </row>
    <row r="54" ht="15" customHeight="1" s="23">
      <c r="A54" s="280" t="n"/>
    </row>
    <row r="55" ht="15" customHeight="1" s="23">
      <c r="A55" s="280" t="n"/>
    </row>
    <row r="56" ht="15" customHeight="1" s="23">
      <c r="A56" s="280" t="n"/>
    </row>
    <row r="57" ht="15" customHeight="1" s="23">
      <c r="A57" s="280" t="n"/>
    </row>
    <row r="58" ht="15" customHeight="1" s="23">
      <c r="A58" s="280" t="n"/>
    </row>
    <row r="59" ht="15" customHeight="1" s="23">
      <c r="A59" s="280" t="n"/>
    </row>
    <row r="60" ht="15" customHeight="1" s="23">
      <c r="A60" s="280" t="n"/>
    </row>
    <row r="61" ht="15" customHeight="1" s="23">
      <c r="A61" s="280" t="n"/>
    </row>
    <row r="62" ht="15" customHeight="1" s="23">
      <c r="A62" s="280" t="n"/>
    </row>
    <row r="63" ht="15" customHeight="1" s="23">
      <c r="A63" s="280" t="n"/>
    </row>
    <row r="64" ht="15" customHeight="1" s="23">
      <c r="A64" s="280" t="n"/>
    </row>
    <row r="65" ht="15" customHeight="1" s="23">
      <c r="A65" s="280" t="n"/>
    </row>
    <row r="66" ht="15" customHeight="1" s="23">
      <c r="A66" s="280" t="n"/>
    </row>
    <row r="67" ht="15" customHeight="1" s="23">
      <c r="A67" s="280" t="n"/>
    </row>
    <row r="68" ht="15" customHeight="1" s="23">
      <c r="A68" s="280" t="n"/>
    </row>
    <row r="69" ht="15" customHeight="1" s="23">
      <c r="A69" s="280" t="n"/>
    </row>
    <row r="70" ht="15" customHeight="1" s="23">
      <c r="A70" s="280" t="n"/>
    </row>
    <row r="71" ht="15" customHeight="1" s="23">
      <c r="A71" s="280" t="n"/>
    </row>
    <row r="72" ht="15" customHeight="1" s="23">
      <c r="A72" s="280" t="n"/>
    </row>
    <row r="73" ht="15" customHeight="1" s="23">
      <c r="A73" s="280" t="n"/>
    </row>
    <row r="74" ht="15" customHeight="1" s="23">
      <c r="A74" s="280" t="n"/>
    </row>
    <row r="75" ht="15" customHeight="1" s="23">
      <c r="A75" s="280" t="n"/>
    </row>
    <row r="76" ht="15" customHeight="1" s="23">
      <c r="A76" s="280" t="n"/>
    </row>
    <row r="77" ht="15" customHeight="1" s="23">
      <c r="A77" s="280" t="n"/>
    </row>
    <row r="78" ht="15" customHeight="1" s="23">
      <c r="A78" s="280" t="n"/>
    </row>
    <row r="79" ht="15" customHeight="1" s="23">
      <c r="A79" s="280" t="n"/>
    </row>
    <row r="80" ht="15" customHeight="1" s="23">
      <c r="A80" s="280" t="n"/>
    </row>
    <row r="81" ht="15" customHeight="1" s="23">
      <c r="A81" s="280" t="n"/>
    </row>
    <row r="82" ht="15" customHeight="1" s="23">
      <c r="A82" s="280" t="n"/>
    </row>
    <row r="83" ht="15" customHeight="1" s="23">
      <c r="A83" s="280" t="n"/>
    </row>
    <row r="84" ht="15" customHeight="1" s="23">
      <c r="A84" s="280" t="n"/>
    </row>
    <row r="85" ht="15" customHeight="1" s="23">
      <c r="A85" s="280" t="n"/>
    </row>
    <row r="86" ht="15" customHeight="1" s="23">
      <c r="A86" s="280" t="n"/>
    </row>
    <row r="87" ht="15" customHeight="1" s="23">
      <c r="A87" s="280" t="n"/>
    </row>
    <row r="88" ht="15" customHeight="1" s="23">
      <c r="A88" s="280" t="n"/>
    </row>
    <row r="89" ht="15" customHeight="1" s="23">
      <c r="A89" s="280" t="n"/>
    </row>
    <row r="90" ht="15" customHeight="1" s="23">
      <c r="A90" s="280" t="n"/>
    </row>
    <row r="91" ht="15" customHeight="1" s="23">
      <c r="A91" s="280" t="n"/>
    </row>
    <row r="92" ht="15" customHeight="1" s="23">
      <c r="A92" s="280" t="n"/>
    </row>
    <row r="93" ht="15" customHeight="1" s="23">
      <c r="A93" s="280" t="n"/>
    </row>
    <row r="94" ht="15" customHeight="1" s="23">
      <c r="A94" s="280" t="n"/>
    </row>
    <row r="95" ht="15" customHeight="1" s="23">
      <c r="A95" s="280" t="n"/>
    </row>
    <row r="96" ht="15" customHeight="1" s="23">
      <c r="A96" s="280" t="n"/>
    </row>
    <row r="97" ht="15" customHeight="1" s="23">
      <c r="A97" s="280" t="n"/>
    </row>
  </sheetData>
  <pageMargins left="0.7" right="0.7" top="0.75" bottom="0.75" header="0.511811023622047" footer="0.511811023622047"/>
  <pageSetup orientation="portrait" paperSize="9" horizontalDpi="300" verticalDpi="300"/>
</worksheet>
</file>

<file path=xl/worksheets/sheet6.xml><?xml version="1.0" encoding="utf-8"?>
<worksheet xmlns="http://schemas.openxmlformats.org/spreadsheetml/2006/main">
  <sheetPr>
    <outlinePr summaryBelow="1" summaryRight="1"/>
    <pageSetUpPr/>
  </sheetPr>
  <dimension ref="A1:S34"/>
  <sheetViews>
    <sheetView zoomScaleNormal="100" workbookViewId="0">
      <pane xSplit="1" ySplit="3" topLeftCell="B4" activePane="bottomRight" state="frozen"/>
      <selection pane="topRight" activeCell="B1" sqref="B1"/>
      <selection pane="bottomLeft" activeCell="A4" sqref="A4"/>
      <selection pane="bottomRight" activeCell="C11" sqref="C11"/>
    </sheetView>
  </sheetViews>
  <sheetFormatPr baseColWidth="8" defaultColWidth="9.109375" defaultRowHeight="14.4"/>
  <cols>
    <col width="8.88671875" customWidth="1" style="51" min="1" max="1"/>
    <col width="10.88671875" customWidth="1" style="280" min="2" max="2"/>
    <col width="66.33203125" customWidth="1" style="280" min="3" max="3"/>
    <col width="10.88671875" customWidth="1" style="280" min="4" max="6"/>
    <col width="9.109375" customWidth="1" style="280" min="7" max="257"/>
  </cols>
  <sheetData>
    <row r="1" ht="30" customFormat="1" customHeight="1" s="263">
      <c r="A1" s="128" t="n"/>
      <c r="B1" s="22">
        <f>'Structura Investitie'!D7</f>
        <v/>
      </c>
      <c r="C1" s="59">
        <f>'Structura Investitie'!C7</f>
        <v/>
      </c>
    </row>
    <row r="2" ht="15" customFormat="1" customHeight="1" s="263">
      <c r="A2" s="128" t="n"/>
      <c r="D2" s="22">
        <f>'Date cladire'!A83</f>
        <v/>
      </c>
      <c r="E2" s="22">
        <f>'Date cladire'!B83</f>
        <v/>
      </c>
    </row>
    <row r="3" ht="37.5" customFormat="1" customHeight="1" s="263">
      <c r="A3" s="48">
        <f>"NrCrt"</f>
        <v/>
      </c>
      <c r="B3" s="48">
        <f>"Simbol"</f>
        <v/>
      </c>
      <c r="C3" s="48" t="inlineStr">
        <is>
          <t>Denumire</t>
        </is>
      </c>
      <c r="D3" s="48">
        <f>"UM"</f>
        <v/>
      </c>
      <c r="E3" s="48">
        <f>"Consum"</f>
        <v/>
      </c>
      <c r="F3" s="48">
        <f>"Cantitate"</f>
        <v/>
      </c>
      <c r="G3" s="49">
        <f>'Date cladire'!B2</f>
        <v/>
      </c>
      <c r="H3" s="49">
        <f>'Date cladire'!D2</f>
        <v/>
      </c>
      <c r="I3" s="49" t="n"/>
      <c r="J3" s="49" t="n"/>
      <c r="K3" s="49" t="n"/>
      <c r="L3" s="49" t="n"/>
      <c r="M3" s="49" t="n"/>
      <c r="N3" s="49" t="n"/>
      <c r="O3" s="49" t="n"/>
      <c r="P3" s="49" t="n"/>
      <c r="Q3" s="49" t="n"/>
      <c r="R3" s="49" t="n"/>
      <c r="S3" s="49" t="n"/>
    </row>
    <row r="4" ht="27" customFormat="1" customHeight="1" s="263">
      <c r="A4" s="12">
        <f>"1"</f>
        <v/>
      </c>
      <c r="B4" s="13">
        <f>"RPCT33A1 [18]"</f>
        <v/>
      </c>
      <c r="C4" s="13" t="inlineStr">
        <is>
          <t xml:space="preserve">Demontarea usilor si ferestrelor din lemn, metal sau PVC </t>
        </is>
      </c>
      <c r="D4" s="13">
        <f>"mp"</f>
        <v/>
      </c>
      <c r="E4" s="210" t="inlineStr">
        <is>
          <t>1.0</t>
        </is>
      </c>
      <c r="F4" s="211">
        <f>E4</f>
        <v/>
      </c>
      <c r="G4" s="52">
        <f>$E$2*'Date cladire'!B72</f>
        <v/>
      </c>
      <c r="H4">
        <f>$E$2*'Date cladire'!D72</f>
        <v/>
      </c>
    </row>
    <row r="5" ht="94.5" customFormat="1" customHeight="1" s="263">
      <c r="A5" s="12">
        <f>"2"</f>
        <v/>
      </c>
      <c r="B5" s="13" t="inlineStr">
        <is>
          <t>+CK02A1 [18]</t>
        </is>
      </c>
      <c r="C5" s="53" t="inlineStr">
        <is>
          <t>Usi performante energetic din PVC cu geam termoizolant cu coeficient de transfer termic de max. 1,1 W/m2K, dotate cu fante de circulatie controlata a aerului
-0002488 - Usa performanta energetic din PVC cu geam termoizolant cu coeficient de transfer termic maxim 1,1 W/m2K, dotata cu fante pentru aerisirea controlata a spatiilor</t>
        </is>
      </c>
      <c r="D5" s="13">
        <f>"mp"</f>
        <v/>
      </c>
      <c r="E5" s="210" t="inlineStr">
        <is>
          <t>1.0</t>
        </is>
      </c>
      <c r="F5" s="211">
        <f>E5</f>
        <v/>
      </c>
      <c r="G5" s="52">
        <f>G4</f>
        <v/>
      </c>
    </row>
    <row r="6" ht="27" customFormat="1" customHeight="1" s="263">
      <c r="A6" s="12" t="n">
        <v>3</v>
      </c>
      <c r="B6" s="13">
        <f>"TRA02A10"</f>
        <v/>
      </c>
      <c r="C6" s="13" t="inlineStr">
        <is>
          <t xml:space="preserve">Transportul rutier al materialelor,semifabricatelor cu autocamionul pe dist.= ...10 km.  </t>
        </is>
      </c>
      <c r="D6" s="13">
        <f>"tona"</f>
        <v/>
      </c>
      <c r="E6" s="210" t="inlineStr">
        <is>
          <t>1.0</t>
        </is>
      </c>
      <c r="F6" s="211">
        <f>E6</f>
        <v/>
      </c>
      <c r="G6" s="52">
        <f>(G4*30+G5*60)/1000</f>
        <v/>
      </c>
    </row>
    <row r="7" ht="40.5" customFormat="1" customHeight="1" s="263">
      <c r="A7" s="12" t="n">
        <v>4</v>
      </c>
      <c r="B7" s="13">
        <f>"TRI1AC13E1"</f>
        <v/>
      </c>
      <c r="C7" s="13" t="inlineStr">
        <is>
          <t>Descarcare...materiale gr.c-ambalate,10-50 kg deplas.prin purtare pina la 10m,asez..auto-rampa,teren ctg</t>
        </is>
      </c>
      <c r="D7" s="13">
        <f>"tona"</f>
        <v/>
      </c>
      <c r="E7" s="210" t="inlineStr">
        <is>
          <t>1.0</t>
        </is>
      </c>
      <c r="F7" s="211">
        <f>E7</f>
        <v/>
      </c>
      <c r="G7" s="52">
        <f>G6</f>
        <v/>
      </c>
    </row>
    <row r="8" ht="27" customFormat="1" customHeight="1" s="263">
      <c r="A8" s="12" t="n">
        <v>5</v>
      </c>
      <c r="B8" s="13">
        <f>"TRB05A22"</f>
        <v/>
      </c>
      <c r="C8" s="13" t="inlineStr">
        <is>
          <t xml:space="preserve">Transportul materialelor prin purtat direct.materiale...incomode sub 25 kg distanta 20m  </t>
        </is>
      </c>
      <c r="D8" s="13">
        <f>"tona"</f>
        <v/>
      </c>
      <c r="E8" s="210" t="inlineStr">
        <is>
          <t>1.0</t>
        </is>
      </c>
      <c r="F8" s="211">
        <f>E8</f>
        <v/>
      </c>
      <c r="G8" s="52">
        <f>G6</f>
        <v/>
      </c>
    </row>
    <row r="9" ht="15" customHeight="1" s="23">
      <c r="A9" s="280" t="n"/>
    </row>
    <row r="10" ht="15" customHeight="1" s="23">
      <c r="A10" s="280" t="n"/>
    </row>
    <row r="11" ht="15" customHeight="1" s="23">
      <c r="A11" s="280" t="n"/>
    </row>
    <row r="12" ht="15" customHeight="1" s="23">
      <c r="A12" s="280" t="n"/>
    </row>
    <row r="13" ht="15" customHeight="1" s="23">
      <c r="A13" s="280" t="n"/>
    </row>
    <row r="14" ht="15" customHeight="1" s="23">
      <c r="A14" s="280" t="n"/>
    </row>
    <row r="15" ht="15" customHeight="1" s="23">
      <c r="A15" s="280" t="n"/>
    </row>
    <row r="16" ht="15" customHeight="1" s="23">
      <c r="A16" s="280" t="n"/>
    </row>
    <row r="17" ht="15" customHeight="1" s="23">
      <c r="A17" s="280" t="n"/>
    </row>
    <row r="18" ht="15" customHeight="1" s="23">
      <c r="A18" s="280" t="n"/>
    </row>
    <row r="19" ht="15" customHeight="1" s="23">
      <c r="A19" s="280" t="n"/>
    </row>
    <row r="20" ht="15" customHeight="1" s="23">
      <c r="A20" s="280" t="n"/>
    </row>
    <row r="21" ht="15" customHeight="1" s="23">
      <c r="A21" s="280" t="n"/>
    </row>
    <row r="22" ht="15" customHeight="1" s="23">
      <c r="A22" s="280" t="n"/>
    </row>
    <row r="23" ht="15" customHeight="1" s="23">
      <c r="A23" s="280" t="n"/>
    </row>
    <row r="24" ht="15" customHeight="1" s="23">
      <c r="A24" s="280" t="n"/>
    </row>
    <row r="25" ht="15" customHeight="1" s="23">
      <c r="A25" s="280" t="n"/>
    </row>
    <row r="26" ht="15" customHeight="1" s="23">
      <c r="A26" s="280" t="n"/>
    </row>
    <row r="27" ht="15" customHeight="1" s="23">
      <c r="A27" s="280" t="n"/>
    </row>
    <row r="28" ht="15" customHeight="1" s="23">
      <c r="A28" s="280" t="n"/>
    </row>
    <row r="29" ht="15" customHeight="1" s="23">
      <c r="A29" s="280" t="n"/>
    </row>
    <row r="30" ht="15" customHeight="1" s="23">
      <c r="A30" s="280" t="n"/>
    </row>
    <row r="31" ht="15" customHeight="1" s="23">
      <c r="A31" s="280" t="n"/>
    </row>
    <row r="32" ht="15" customHeight="1" s="23">
      <c r="A32" s="280" t="n"/>
    </row>
    <row r="33" ht="15" customHeight="1" s="23">
      <c r="A33" s="280" t="n"/>
    </row>
    <row r="34" ht="15" customHeight="1" s="23">
      <c r="A34" s="280" t="n"/>
    </row>
  </sheetData>
  <pageMargins left="0.7" right="0.7" top="0.75" bottom="0.75" header="0.511811023622047" footer="0.511811023622047"/>
  <pageSetup orientation="portrait" paperSize="9" horizontalDpi="300" verticalDpi="300"/>
</worksheet>
</file>

<file path=xl/worksheets/sheet7.xml><?xml version="1.0" encoding="utf-8"?>
<worksheet xmlns="http://schemas.openxmlformats.org/spreadsheetml/2006/main">
  <sheetPr>
    <outlinePr summaryBelow="1" summaryRight="1"/>
    <pageSetUpPr/>
  </sheetPr>
  <dimension ref="A1:S50"/>
  <sheetViews>
    <sheetView zoomScaleNormal="100" workbookViewId="0">
      <pane xSplit="1" ySplit="3" topLeftCell="B4" activePane="bottomRight" state="frozen"/>
      <selection pane="topRight" activeCell="B1" sqref="B1"/>
      <selection pane="bottomLeft" activeCell="A4" sqref="A4"/>
      <selection pane="bottomRight" activeCell="C5" sqref="C5"/>
    </sheetView>
  </sheetViews>
  <sheetFormatPr baseColWidth="8" defaultColWidth="9.109375" defaultRowHeight="14.4"/>
  <cols>
    <col width="8.88671875" customWidth="1" style="51" min="1" max="1"/>
    <col width="10.88671875" customWidth="1" style="280" min="2" max="2"/>
    <col width="59.88671875" customWidth="1" style="280" min="3" max="3"/>
    <col width="10.88671875" customWidth="1" style="280" min="4" max="6"/>
    <col width="9.109375" customWidth="1" style="280" min="7" max="257"/>
  </cols>
  <sheetData>
    <row r="1" ht="15" customFormat="1" customHeight="1" s="263">
      <c r="A1" s="128" t="n"/>
      <c r="B1" s="22">
        <f>'Structura Investitie'!D8</f>
        <v/>
      </c>
      <c r="C1" s="60">
        <f>'Structura Investitie'!C8</f>
        <v/>
      </c>
    </row>
    <row r="2" ht="15" customFormat="1" customHeight="1" s="263">
      <c r="A2" s="128" t="n"/>
      <c r="D2" s="22">
        <f>'Date cladire'!A83</f>
        <v/>
      </c>
      <c r="E2" s="22">
        <f>'Date cladire'!B83</f>
        <v/>
      </c>
    </row>
    <row r="3" ht="37.5" customHeight="1" s="23">
      <c r="A3" s="61">
        <f>"NrCrt"</f>
        <v/>
      </c>
      <c r="B3" s="61">
        <f>"Simbol"</f>
        <v/>
      </c>
      <c r="C3" s="61" t="inlineStr">
        <is>
          <t>Denumire</t>
        </is>
      </c>
      <c r="D3" s="61">
        <f>"UM"</f>
        <v/>
      </c>
      <c r="E3" s="61">
        <f>"Consum"</f>
        <v/>
      </c>
      <c r="F3" s="61">
        <f>"Cantitate"</f>
        <v/>
      </c>
      <c r="G3" s="26">
        <f>'Date cladire'!B2</f>
        <v/>
      </c>
      <c r="H3" s="26">
        <f>'Date cladire'!D2</f>
        <v/>
      </c>
      <c r="I3" s="26" t="n"/>
      <c r="J3" s="26" t="n"/>
      <c r="K3" s="26" t="n"/>
      <c r="L3" s="26" t="n"/>
      <c r="M3" s="26" t="n"/>
      <c r="N3" s="26" t="n"/>
      <c r="O3" s="26" t="n"/>
      <c r="P3" s="26" t="n"/>
      <c r="Q3" s="26" t="n"/>
      <c r="R3" s="26" t="n"/>
      <c r="S3" s="26" t="n"/>
    </row>
    <row r="4" ht="27" customHeight="1" s="23">
      <c r="A4" s="62">
        <f>"1"</f>
        <v/>
      </c>
      <c r="B4" s="7">
        <f>"RPCT33A1 [18]"</f>
        <v/>
      </c>
      <c r="C4" s="7" t="inlineStr">
        <is>
          <t xml:space="preserve">Demontarea usilor si ferestrelor din lemn, metal sau PVC </t>
        </is>
      </c>
      <c r="D4" s="7">
        <f>"mp"</f>
        <v/>
      </c>
      <c r="E4" s="214" t="inlineStr">
        <is>
          <t>1.0</t>
        </is>
      </c>
      <c r="F4" s="215">
        <f>E4</f>
        <v/>
      </c>
      <c r="G4" s="63">
        <f>$E$2*'Date cladire'!B38+'Date cladire'!B39</f>
        <v/>
      </c>
      <c r="H4">
        <f>$E$2*'Date cladire'!D38+'Date cladire'!D39</f>
        <v/>
      </c>
    </row>
    <row r="5" ht="121.5" customHeight="1" s="23">
      <c r="A5" s="62">
        <f>"2"</f>
        <v/>
      </c>
      <c r="B5" s="13" t="inlineStr">
        <is>
          <t>+CK01A2 [10]</t>
        </is>
      </c>
      <c r="C5" s="53" t="inlineStr">
        <is>
          <t>Ferestre performante energetic din PVC cu geam termoizolant cu coeficient de transfer termic de max. 1,1 W/m2K, deschideri oscilobatante, dotate cu fante de circulatie controlata a aerului
- 0002447 Fereastra performanta energetic din PVC cu geam termoizolant cu coeficient de transfer termic maxim 1,1 W/m2K, deschideri oscilobatante, dotata cu fante pentru aerisirea controlata a spatiilor</t>
        </is>
      </c>
      <c r="D5" s="7">
        <f>"mp"</f>
        <v/>
      </c>
      <c r="E5" s="214" t="inlineStr">
        <is>
          <t>1.0</t>
        </is>
      </c>
      <c r="F5" s="215">
        <f>E5</f>
        <v/>
      </c>
      <c r="G5" s="63">
        <f>$E$2*'Date cladire'!B38</f>
        <v/>
      </c>
      <c r="H5">
        <f>$E$2*'Date cladire'!D38</f>
        <v/>
      </c>
    </row>
    <row r="6" ht="108" customHeight="1" s="23">
      <c r="A6" s="62">
        <f>"3"</f>
        <v/>
      </c>
      <c r="B6" s="13" t="inlineStr">
        <is>
          <t>+CK02A1 [18]</t>
        </is>
      </c>
      <c r="C6" s="53" t="inlineStr">
        <is>
          <t>Usi performante energetic din PVC cu geam termoizolant cu coeficient de transfer termic de max. 1,1 W/m2K, dotate cu fante de circulatie controlata a aerului
-0002488 - Usa performanta energetic din PVC cu geam termoizolant cu coeficient de transfer termic maxim 1,1 W/m2K, dotata cu fante pentru aerisirea controlata a spatiilor</t>
        </is>
      </c>
      <c r="D6" s="7">
        <f>"mp"</f>
        <v/>
      </c>
      <c r="E6" s="214" t="inlineStr">
        <is>
          <t>1.0</t>
        </is>
      </c>
      <c r="F6" s="215">
        <f>E6</f>
        <v/>
      </c>
      <c r="G6" s="63">
        <f>$E$2*'Date cladire'!B39</f>
        <v/>
      </c>
      <c r="H6">
        <f>$E$2*'Date cladire'!D39</f>
        <v/>
      </c>
    </row>
    <row r="7" ht="40.5" customHeight="1" s="23">
      <c r="A7" s="62" t="n">
        <v>4</v>
      </c>
      <c r="B7" s="7">
        <f>"TRA02A10"</f>
        <v/>
      </c>
      <c r="C7" s="7" t="inlineStr">
        <is>
          <t xml:space="preserve">Transportul rutier al materialelor,semifabricatelor cu autocamionul pe dist.= ...10 km.  </t>
        </is>
      </c>
      <c r="D7" s="7">
        <f>"tona"</f>
        <v/>
      </c>
      <c r="E7" s="214" t="inlineStr">
        <is>
          <t>1.0</t>
        </is>
      </c>
      <c r="F7" s="215">
        <f>E7</f>
        <v/>
      </c>
      <c r="G7" s="63">
        <f>(G4*30+G5*60+G6*60)/1000</f>
        <v/>
      </c>
    </row>
    <row r="8" ht="40.5" customHeight="1" s="23">
      <c r="A8" s="62" t="n">
        <v>5</v>
      </c>
      <c r="B8" s="7">
        <f>"TRI1AC13E1"</f>
        <v/>
      </c>
      <c r="C8" s="7" t="inlineStr">
        <is>
          <t>Descarcare...materiale gr.c-ambalate,10-50 kg deplas.prin purtare pina la 10m,asez..auto-rampa,teren ctg</t>
        </is>
      </c>
      <c r="D8" s="7">
        <f>"tona"</f>
        <v/>
      </c>
      <c r="E8" s="214" t="inlineStr">
        <is>
          <t>1.0</t>
        </is>
      </c>
      <c r="F8" s="215">
        <f>E8</f>
        <v/>
      </c>
      <c r="G8" s="63">
        <f>G7</f>
        <v/>
      </c>
    </row>
    <row r="9" ht="27" customHeight="1" s="23">
      <c r="A9" s="62" t="n">
        <v>6</v>
      </c>
      <c r="B9" s="7">
        <f>"TRB05A22"</f>
        <v/>
      </c>
      <c r="C9" s="7" t="inlineStr">
        <is>
          <t xml:space="preserve">Transportul materialelor prin purtat direct.materiale...incomode sub 25 kg distanta 20m  </t>
        </is>
      </c>
      <c r="D9" s="7">
        <f>"tona"</f>
        <v/>
      </c>
      <c r="E9" s="214" t="inlineStr">
        <is>
          <t>1.0</t>
        </is>
      </c>
      <c r="F9" s="215">
        <f>E9</f>
        <v/>
      </c>
      <c r="G9" s="63">
        <f>G7</f>
        <v/>
      </c>
    </row>
    <row r="10" ht="15" customHeight="1" s="23">
      <c r="A10" s="280" t="n"/>
    </row>
    <row r="11" ht="15" customHeight="1" s="23">
      <c r="A11" s="280" t="n"/>
    </row>
    <row r="12" ht="15" customHeight="1" s="23">
      <c r="A12" s="280" t="n"/>
    </row>
    <row r="13" ht="15" customHeight="1" s="23">
      <c r="A13" s="280" t="n"/>
    </row>
    <row r="14" ht="15" customHeight="1" s="23">
      <c r="A14" s="280" t="n"/>
    </row>
    <row r="15" ht="15" customHeight="1" s="23">
      <c r="A15" s="280" t="n"/>
    </row>
    <row r="16" ht="15" customHeight="1" s="23">
      <c r="A16" s="280" t="n"/>
    </row>
    <row r="17" ht="15" customHeight="1" s="23">
      <c r="A17" s="280" t="n"/>
    </row>
    <row r="18" ht="15" customHeight="1" s="23">
      <c r="A18" s="280" t="n"/>
    </row>
    <row r="19" ht="15" customHeight="1" s="23">
      <c r="A19" s="280" t="n"/>
    </row>
    <row r="20" ht="15" customHeight="1" s="23">
      <c r="A20" s="280" t="n"/>
    </row>
    <row r="21" ht="15" customHeight="1" s="23">
      <c r="A21" s="280" t="n"/>
    </row>
    <row r="22" ht="15" customHeight="1" s="23">
      <c r="A22" s="280" t="n"/>
    </row>
    <row r="23" ht="15" customHeight="1" s="23">
      <c r="A23" s="280" t="n"/>
    </row>
    <row r="24" ht="15" customHeight="1" s="23">
      <c r="A24" s="280" t="n"/>
    </row>
    <row r="25" ht="15" customHeight="1" s="23">
      <c r="A25" s="280" t="n"/>
    </row>
    <row r="26" ht="15" customHeight="1" s="23">
      <c r="A26" s="280" t="n"/>
    </row>
    <row r="27" ht="15" customHeight="1" s="23">
      <c r="A27" s="280" t="n"/>
    </row>
    <row r="28" ht="15" customHeight="1" s="23">
      <c r="A28" s="280" t="n"/>
    </row>
    <row r="29" ht="15" customHeight="1" s="23">
      <c r="A29" s="280" t="n"/>
    </row>
    <row r="30" ht="15" customHeight="1" s="23">
      <c r="A30" s="280" t="n"/>
    </row>
    <row r="31" ht="15" customHeight="1" s="23">
      <c r="A31" s="280" t="n"/>
    </row>
    <row r="32" ht="15" customHeight="1" s="23">
      <c r="A32" s="280" t="n"/>
    </row>
    <row r="33" ht="15" customHeight="1" s="23">
      <c r="A33" s="280" t="n"/>
    </row>
    <row r="34" ht="15" customHeight="1" s="23">
      <c r="A34" s="280" t="n"/>
    </row>
    <row r="35" ht="15" customHeight="1" s="23">
      <c r="A35" s="280" t="n"/>
    </row>
    <row r="36" ht="15" customHeight="1" s="23">
      <c r="A36" s="280" t="n"/>
    </row>
    <row r="37" ht="15" customHeight="1" s="23">
      <c r="A37" s="280" t="n"/>
    </row>
    <row r="38" ht="15" customHeight="1" s="23">
      <c r="A38" s="280" t="n"/>
    </row>
    <row r="39" ht="15" customHeight="1" s="23">
      <c r="A39" s="280" t="n"/>
    </row>
    <row r="40" ht="15" customHeight="1" s="23">
      <c r="A40" s="280" t="n"/>
    </row>
    <row r="41" ht="15" customHeight="1" s="23">
      <c r="A41" s="280" t="n"/>
    </row>
    <row r="42" ht="15" customHeight="1" s="23">
      <c r="A42" s="280" t="n"/>
    </row>
    <row r="43" ht="15" customHeight="1" s="23">
      <c r="A43" s="280" t="n"/>
    </row>
    <row r="44" ht="15" customHeight="1" s="23">
      <c r="A44" s="280" t="n"/>
    </row>
    <row r="45" ht="15" customHeight="1" s="23">
      <c r="A45" s="280" t="n"/>
    </row>
    <row r="46" ht="15" customHeight="1" s="23">
      <c r="A46" s="280" t="n"/>
    </row>
    <row r="47" ht="15" customHeight="1" s="23">
      <c r="A47" s="280" t="n"/>
    </row>
    <row r="48" ht="15" customHeight="1" s="23">
      <c r="A48" s="280" t="n"/>
    </row>
    <row r="49" ht="15" customHeight="1" s="23">
      <c r="A49" s="280" t="n"/>
    </row>
    <row r="50" ht="15" customHeight="1" s="23">
      <c r="A50" s="280" t="n"/>
    </row>
  </sheetData>
  <pageMargins left="0.7" right="0.7" top="0.75" bottom="0.75" header="0.511811023622047" footer="0.511811023622047"/>
  <pageSetup orientation="portrait" paperSize="9" horizontalDpi="300" verticalDpi="300"/>
</worksheet>
</file>

<file path=xl/worksheets/sheet8.xml><?xml version="1.0" encoding="utf-8"?>
<worksheet xmlns="http://schemas.openxmlformats.org/spreadsheetml/2006/main">
  <sheetPr>
    <outlinePr summaryBelow="1" summaryRight="1"/>
    <pageSetUpPr/>
  </sheetPr>
  <dimension ref="A1:S54"/>
  <sheetViews>
    <sheetView zoomScaleNormal="100" workbookViewId="0">
      <pane xSplit="1" ySplit="3" topLeftCell="B4" activePane="bottomRight" state="frozen"/>
      <selection pane="topRight" activeCell="B1" sqref="B1"/>
      <selection pane="bottomLeft" activeCell="A4" sqref="A4"/>
      <selection pane="bottomRight" activeCell="C6" sqref="C6"/>
    </sheetView>
  </sheetViews>
  <sheetFormatPr baseColWidth="8" defaultColWidth="9.109375" defaultRowHeight="14.4"/>
  <cols>
    <col width="8.88671875" customWidth="1" style="51" min="1" max="1"/>
    <col width="12.6640625" customWidth="1" style="280" min="2" max="2"/>
    <col width="63.6640625" customWidth="1" style="280" min="3" max="3"/>
    <col width="10.88671875" customWidth="1" style="280" min="4" max="6"/>
    <col width="9.109375" customWidth="1" style="280" min="7" max="8"/>
    <col width="12.6640625" customWidth="1" style="280" min="9" max="9"/>
    <col width="9.109375" customWidth="1" style="280" min="10" max="257"/>
  </cols>
  <sheetData>
    <row r="1" ht="26.4" customFormat="1" customHeight="1" s="263">
      <c r="A1" s="128" t="n"/>
      <c r="B1" s="22">
        <f>'Structura Investitie'!D9</f>
        <v/>
      </c>
      <c r="C1" s="59">
        <f>'Structura Investitie'!C9</f>
        <v/>
      </c>
    </row>
    <row r="2" ht="15" customFormat="1" customHeight="1" s="263">
      <c r="A2" s="128" t="n"/>
      <c r="D2" s="22">
        <f>'Date cladire'!A83</f>
        <v/>
      </c>
      <c r="E2" s="22">
        <f>'Date cladire'!B83</f>
        <v/>
      </c>
    </row>
    <row r="3" ht="37.5" customFormat="1" customHeight="1" s="263">
      <c r="A3" s="48">
        <f>"NrCrt"</f>
        <v/>
      </c>
      <c r="B3" s="48">
        <f>"Simbol"</f>
        <v/>
      </c>
      <c r="C3" s="48" t="inlineStr">
        <is>
          <t>Denumire</t>
        </is>
      </c>
      <c r="D3" s="48">
        <f>"UM"</f>
        <v/>
      </c>
      <c r="E3" s="48">
        <f>"Consum"</f>
        <v/>
      </c>
      <c r="F3" s="48">
        <f>"Cantitate"</f>
        <v/>
      </c>
      <c r="G3" s="49">
        <f>'Date cladire'!B2</f>
        <v/>
      </c>
      <c r="H3" s="49">
        <f>'Date cladire'!D2</f>
        <v/>
      </c>
      <c r="I3" s="49" t="n"/>
      <c r="J3" s="49" t="n"/>
      <c r="K3" s="49" t="n"/>
      <c r="L3" s="49" t="n"/>
      <c r="M3" s="49" t="n"/>
      <c r="N3" s="49" t="n"/>
      <c r="O3" s="49" t="n"/>
      <c r="P3" s="49" t="n"/>
      <c r="Q3" s="49" t="n"/>
      <c r="R3" s="49" t="n"/>
      <c r="S3" s="49" t="n"/>
    </row>
    <row r="4" ht="27" customFormat="1" customHeight="1" s="263">
      <c r="A4" s="12">
        <f>"1"</f>
        <v/>
      </c>
      <c r="B4" s="13">
        <f>"RPCT33A1 [18]"</f>
        <v/>
      </c>
      <c r="C4" s="13" t="inlineStr">
        <is>
          <t xml:space="preserve">Demontarea usilor si ferestrelor din lemn, metal sau PVC </t>
        </is>
      </c>
      <c r="D4" s="13">
        <f>"mp"</f>
        <v/>
      </c>
      <c r="E4" s="210" t="inlineStr">
        <is>
          <t>1.0</t>
        </is>
      </c>
      <c r="F4" s="211">
        <f>E4</f>
        <v/>
      </c>
      <c r="G4" s="52">
        <f>$E$2*('Date cladire'!B45+'Date cladire'!B46)</f>
        <v/>
      </c>
      <c r="H4">
        <f>$E$2*('Date cladire'!D45+'Date cladire'!D46)</f>
        <v/>
      </c>
    </row>
    <row r="5" ht="108" customFormat="1" customHeight="1" s="263">
      <c r="A5" s="12">
        <f>"2"</f>
        <v/>
      </c>
      <c r="B5" s="13" t="inlineStr">
        <is>
          <t>+CK01A2 [10]</t>
        </is>
      </c>
      <c r="C5" s="53" t="inlineStr">
        <is>
          <t>Ferestre performante energetic din PVC cu geam termoizolant cu coeficient de transfer termic de max. 1,1 W/m2K, deschideri oscilobatante, dotate cu fante de circulatie controlata a aerului
- 0002447 Fereastra performanta energetic din PVC cu geam termoizolant cu coeficient de transfer termic maxim 1,1 W/m2K, deschideri oscilobatante, dotata cu fante pentru aerisirea controlata a spatiilor</t>
        </is>
      </c>
      <c r="D5" s="13">
        <f>"mp"</f>
        <v/>
      </c>
      <c r="E5" s="210" t="inlineStr">
        <is>
          <t>1.0</t>
        </is>
      </c>
      <c r="F5" s="211">
        <f>E5</f>
        <v/>
      </c>
      <c r="G5" s="52">
        <f>$E$2*'Date cladire'!B45</f>
        <v/>
      </c>
      <c r="H5">
        <f>$E$2*'Date cladire'!D45</f>
        <v/>
      </c>
    </row>
    <row r="6" ht="108" customFormat="1" customHeight="1" s="263">
      <c r="A6" s="12">
        <f>"3"</f>
        <v/>
      </c>
      <c r="B6" s="13" t="inlineStr">
        <is>
          <t>+CK02A1 [18]</t>
        </is>
      </c>
      <c r="C6" s="53" t="inlineStr">
        <is>
          <t>Usi performante energetic din PVC cu geam termoizolant cu coeficient de transfer termic de max. 1,1 W/m2K, dotate cu fante de circulatie controlata a aerului
-0002488 - Usa performanta energetic din PVC cu geam termoizolant cu coeficient de transfer termic maxim 1,1 W/m2K, dotata cu fante pentru aerisirea controlata a spatiilor</t>
        </is>
      </c>
      <c r="D6" s="13">
        <f>"mp"</f>
        <v/>
      </c>
      <c r="E6" s="210" t="inlineStr">
        <is>
          <t>1.0</t>
        </is>
      </c>
      <c r="F6" s="211">
        <f>E6</f>
        <v/>
      </c>
      <c r="G6" s="52">
        <f>$E$2*'Date cladire'!B46</f>
        <v/>
      </c>
      <c r="H6">
        <f>$E$2*'Date cladire'!D46</f>
        <v/>
      </c>
    </row>
    <row r="7" ht="67.5" customFormat="1" customHeight="1" s="263">
      <c r="A7" s="12">
        <f>"6"</f>
        <v/>
      </c>
      <c r="B7" s="11" t="inlineStr">
        <is>
          <t>IZF35D+[ 20 ]</t>
        </is>
      </c>
      <c r="C7" s="11" t="inlineStr">
        <is>
          <t>Sistem termoizolant pentru elemente de fatada realizat cu polistiren expandat de 15 cm grosime (agrementat in Romania, cu o durabilitate garantata de min 10 ani) pentru zona de camp, strat finisaj exterior realizat cu tencuiala decorativa.</t>
        </is>
      </c>
      <c r="D7" s="13">
        <f>"mp"</f>
        <v/>
      </c>
      <c r="E7" s="210" t="inlineStr">
        <is>
          <t>1.0</t>
        </is>
      </c>
      <c r="F7" s="211">
        <f>E7</f>
        <v/>
      </c>
      <c r="G7" s="55">
        <f>$E$2*0</f>
        <v/>
      </c>
      <c r="H7" s="56" t="n"/>
      <c r="I7" s="56" t="n"/>
      <c r="J7" s="56" t="n"/>
      <c r="K7" s="56" t="n"/>
      <c r="L7" s="56" t="n"/>
      <c r="M7" s="56" t="n"/>
      <c r="N7" s="56" t="n"/>
      <c r="O7" s="56" t="n"/>
      <c r="P7" s="56" t="n"/>
      <c r="Q7" s="56" t="n"/>
      <c r="R7" s="56" t="n"/>
      <c r="S7" s="56" t="n"/>
    </row>
    <row r="8" ht="67.5" customFormat="1" customHeight="1" s="263">
      <c r="A8" s="12">
        <f>"6"</f>
        <v/>
      </c>
      <c r="B8" s="64" t="inlineStr">
        <is>
          <t>IZF35D+[ 57 ]</t>
        </is>
      </c>
      <c r="C8" s="11" t="inlineStr">
        <is>
          <t>Sistem termoizolant pentru elemente de fatada realizat cu vata minerala bazaltica de 15 cm grosime (agrementat in Romania, cu o durabilitate garantata de min 10 ani), strat finisaj exterior realizat cu tencuiala decorativa.</t>
        </is>
      </c>
      <c r="D8" s="13">
        <f>"mp"</f>
        <v/>
      </c>
      <c r="E8" s="210" t="inlineStr">
        <is>
          <t>1.0</t>
        </is>
      </c>
      <c r="F8" s="211">
        <f>E8</f>
        <v/>
      </c>
      <c r="G8" s="55">
        <f>$E$2*0</f>
        <v/>
      </c>
      <c r="H8" s="56" t="n"/>
      <c r="I8" s="56" t="n"/>
      <c r="J8" s="56" t="n"/>
      <c r="K8" s="56" t="n"/>
      <c r="L8" s="56" t="n"/>
      <c r="M8" s="56" t="n"/>
      <c r="N8" s="56" t="n"/>
      <c r="O8" s="56" t="n"/>
      <c r="P8" s="56" t="n"/>
      <c r="Q8" s="56" t="n"/>
      <c r="R8" s="56" t="n"/>
      <c r="S8" s="56" t="n"/>
    </row>
    <row r="9" ht="27" customFormat="1" customHeight="1" s="263">
      <c r="A9" s="12">
        <f>"4"</f>
        <v/>
      </c>
      <c r="B9" s="13">
        <f>"TRA02A10"</f>
        <v/>
      </c>
      <c r="C9" s="13" t="inlineStr">
        <is>
          <t xml:space="preserve">Transportul rutier al materialelor,semifabricatelor cu autocamionul pe dist.= ...10 km.  </t>
        </is>
      </c>
      <c r="D9" s="13">
        <f>"tona"</f>
        <v/>
      </c>
      <c r="E9" s="210" t="inlineStr">
        <is>
          <t>1.0</t>
        </is>
      </c>
      <c r="F9" s="211">
        <f>E9</f>
        <v/>
      </c>
      <c r="G9" s="52">
        <f>(G4*30+G5*60+G6*60)/1000+(G7+G8)*20/1000</f>
        <v/>
      </c>
    </row>
    <row r="10" ht="40.5" customFormat="1" customHeight="1" s="263">
      <c r="A10" s="12">
        <f>"5"</f>
        <v/>
      </c>
      <c r="B10" s="13">
        <f>"TRI1AC13E1"</f>
        <v/>
      </c>
      <c r="C10" s="13" t="inlineStr">
        <is>
          <t>Descarcare...materiale gr.c-ambalate,10-50 kg deplas.prin purtare pina la 10m,asez..auto-rampa,teren ctg</t>
        </is>
      </c>
      <c r="D10" s="13">
        <f>"tona"</f>
        <v/>
      </c>
      <c r="E10" s="210" t="inlineStr">
        <is>
          <t>1.0</t>
        </is>
      </c>
      <c r="F10" s="211">
        <f>E10</f>
        <v/>
      </c>
      <c r="G10" s="52">
        <f>G9</f>
        <v/>
      </c>
    </row>
    <row r="11" ht="27" customFormat="1" customHeight="1" s="263">
      <c r="A11" s="12">
        <f>"6"</f>
        <v/>
      </c>
      <c r="B11" s="13">
        <f>"TRB05A22"</f>
        <v/>
      </c>
      <c r="C11" s="13" t="inlineStr">
        <is>
          <t xml:space="preserve">Transportul materialelor prin purtat direct.materiale...incomode sub 25 kg distanta 20m  </t>
        </is>
      </c>
      <c r="D11" s="13">
        <f>"tona"</f>
        <v/>
      </c>
      <c r="E11" s="210" t="inlineStr">
        <is>
          <t>1.0</t>
        </is>
      </c>
      <c r="F11" s="211">
        <f>E11</f>
        <v/>
      </c>
      <c r="G11" s="52">
        <f>G9</f>
        <v/>
      </c>
    </row>
    <row r="12" ht="15" customFormat="1" customHeight="1" s="263">
      <c r="A12" s="280" t="n"/>
    </row>
    <row r="13" ht="15" customFormat="1" customHeight="1" s="263">
      <c r="A13" s="280" t="n"/>
    </row>
    <row r="14" ht="30" customFormat="1" customHeight="1" s="263">
      <c r="A14" s="280" t="n"/>
      <c r="C14" s="65" t="inlineStr">
        <is>
          <t>In cazul in care s-au prins separat spatiile cu alta destinatie in Devizele de la DALI</t>
        </is>
      </c>
    </row>
    <row r="15" ht="15" customHeight="1" s="23">
      <c r="A15" s="280" t="n"/>
    </row>
    <row r="16" ht="15" customHeight="1" s="23">
      <c r="A16" s="280" t="n"/>
    </row>
    <row r="17" ht="15" customHeight="1" s="23">
      <c r="A17" s="280" t="n"/>
    </row>
    <row r="18" ht="15" customHeight="1" s="23">
      <c r="A18" s="280" t="n"/>
    </row>
    <row r="19" ht="15" customHeight="1" s="23">
      <c r="A19" s="280" t="n"/>
    </row>
    <row r="20" ht="15" customHeight="1" s="23">
      <c r="A20" s="280" t="n"/>
    </row>
    <row r="21" ht="15" customHeight="1" s="23">
      <c r="A21" s="280" t="n"/>
    </row>
    <row r="22" ht="15" customHeight="1" s="23">
      <c r="A22" s="280" t="n"/>
    </row>
    <row r="23" ht="15" customHeight="1" s="23">
      <c r="A23" s="280" t="n"/>
    </row>
    <row r="24" ht="15" customHeight="1" s="23">
      <c r="A24" s="280" t="n"/>
    </row>
    <row r="25" ht="15" customHeight="1" s="23">
      <c r="A25" s="280" t="n"/>
    </row>
    <row r="26" ht="15" customHeight="1" s="23">
      <c r="A26" s="280" t="n"/>
    </row>
    <row r="27" ht="15" customHeight="1" s="23">
      <c r="A27" s="280" t="n"/>
    </row>
    <row r="28" ht="15" customHeight="1" s="23">
      <c r="A28" s="280" t="n"/>
    </row>
    <row r="29" ht="15" customHeight="1" s="23">
      <c r="A29" s="280" t="n"/>
    </row>
    <row r="30" ht="15" customHeight="1" s="23">
      <c r="A30" s="280" t="n"/>
    </row>
    <row r="31" ht="15" customHeight="1" s="23">
      <c r="A31" s="280" t="n"/>
    </row>
    <row r="32" ht="15" customHeight="1" s="23">
      <c r="A32" s="280" t="n"/>
    </row>
    <row r="33" ht="15" customHeight="1" s="23">
      <c r="A33" s="280" t="n"/>
    </row>
    <row r="34" ht="15" customHeight="1" s="23">
      <c r="A34" s="280" t="n"/>
    </row>
    <row r="35" ht="15" customHeight="1" s="23">
      <c r="A35" s="280" t="n"/>
    </row>
    <row r="36" ht="15" customHeight="1" s="23">
      <c r="A36" s="280" t="n"/>
    </row>
    <row r="37" ht="15" customHeight="1" s="23">
      <c r="A37" s="280" t="n"/>
    </row>
    <row r="38" ht="15" customHeight="1" s="23">
      <c r="A38" s="280" t="n"/>
    </row>
    <row r="39" ht="15" customHeight="1" s="23">
      <c r="A39" s="280" t="n"/>
    </row>
    <row r="40" ht="15" customHeight="1" s="23">
      <c r="A40" s="280" t="n"/>
    </row>
    <row r="41" ht="15" customHeight="1" s="23">
      <c r="A41" s="280" t="n"/>
    </row>
    <row r="42" ht="15" customHeight="1" s="23">
      <c r="A42" s="280" t="n"/>
    </row>
    <row r="43" ht="15" customHeight="1" s="23">
      <c r="A43" s="280" t="n"/>
    </row>
    <row r="44" ht="15" customHeight="1" s="23">
      <c r="A44" s="280" t="n"/>
    </row>
    <row r="45" ht="15" customHeight="1" s="23">
      <c r="A45" s="280" t="n"/>
    </row>
    <row r="46" ht="15" customHeight="1" s="23">
      <c r="A46" s="280" t="n"/>
    </row>
    <row r="47" ht="15" customHeight="1" s="23">
      <c r="A47" s="280" t="n"/>
    </row>
    <row r="48" ht="15" customHeight="1" s="23">
      <c r="A48" s="280" t="n"/>
    </row>
    <row r="49" ht="15" customHeight="1" s="23">
      <c r="A49" s="280" t="n"/>
    </row>
    <row r="50" ht="15" customHeight="1" s="23">
      <c r="A50" s="280" t="n"/>
    </row>
    <row r="51" ht="15" customHeight="1" s="23">
      <c r="A51" s="280" t="n"/>
    </row>
    <row r="52" ht="15" customHeight="1" s="23">
      <c r="A52" s="280" t="n"/>
    </row>
    <row r="53" ht="15" customHeight="1" s="23">
      <c r="A53" s="280" t="n"/>
    </row>
    <row r="54" ht="15" customHeight="1" s="23">
      <c r="A54" s="280" t="n"/>
    </row>
  </sheetData>
  <pageMargins left="0.7" right="0.7" top="0.75" bottom="0.75" header="0.511811023622047" footer="0.511811023622047"/>
  <pageSetup orientation="portrait" paperSize="9" horizontalDpi="300" verticalDpi="300"/>
</worksheet>
</file>

<file path=xl/worksheets/sheet9.xml><?xml version="1.0" encoding="utf-8"?>
<worksheet xmlns="http://schemas.openxmlformats.org/spreadsheetml/2006/main">
  <sheetPr>
    <outlinePr summaryBelow="1" summaryRight="1"/>
    <pageSetUpPr/>
  </sheetPr>
  <dimension ref="A1:O103"/>
  <sheetViews>
    <sheetView zoomScaleNormal="100" workbookViewId="0">
      <pane xSplit="1" ySplit="3" topLeftCell="B4" activePane="bottomRight" state="frozen"/>
      <selection pane="topRight" activeCell="B1" sqref="B1"/>
      <selection pane="bottomLeft" activeCell="A13" sqref="A13"/>
      <selection pane="bottomRight" activeCell="A18" sqref="A18:F18"/>
    </sheetView>
  </sheetViews>
  <sheetFormatPr baseColWidth="8" defaultColWidth="9.109375" defaultRowHeight="14.4"/>
  <cols>
    <col width="8.88671875" customWidth="1" style="51" min="1" max="1"/>
    <col width="10.44140625" customWidth="1" style="263" min="2" max="2"/>
    <col width="54.6640625" customWidth="1" style="280" min="3" max="3"/>
    <col width="9.33203125" customWidth="1" style="280" min="4" max="4"/>
    <col width="10.88671875" customWidth="1" style="280" min="5" max="6"/>
    <col width="10.5546875" customWidth="1" style="280" min="7" max="7"/>
    <col width="9.109375" customWidth="1" style="280" min="8" max="8"/>
    <col width="9.5546875" customWidth="1" style="280" min="9" max="9"/>
    <col width="13.5546875" customWidth="1" style="280" min="10" max="10"/>
    <col width="9.109375" customWidth="1" style="280" min="11" max="11"/>
    <col width="11.5546875" customWidth="1" style="280" min="12" max="12"/>
    <col width="9.5546875" customWidth="1" style="280" min="13" max="14"/>
    <col width="30" customWidth="1" style="280" min="15" max="15"/>
    <col width="9.109375" customWidth="1" style="280" min="16" max="257"/>
  </cols>
  <sheetData>
    <row r="1" ht="15" customFormat="1" customHeight="1" s="263">
      <c r="A1" s="128" t="n"/>
      <c r="B1" s="22">
        <f>'Structura Investitie'!D10</f>
        <v/>
      </c>
      <c r="C1" s="22">
        <f>'Structura Investitie'!C10</f>
        <v/>
      </c>
    </row>
    <row r="2" ht="15.75" customFormat="1" customHeight="1" s="263">
      <c r="A2" s="128" t="n"/>
      <c r="D2" s="22">
        <f>'Date cladire'!A83</f>
        <v/>
      </c>
      <c r="E2" s="22">
        <f>'Date cladire'!B83</f>
        <v/>
      </c>
    </row>
    <row r="3" ht="39" customFormat="1" customHeight="1" s="263">
      <c r="A3" s="48">
        <f>"NrCrt"</f>
        <v/>
      </c>
      <c r="B3" s="48">
        <f>"Simbol"</f>
        <v/>
      </c>
      <c r="C3" s="48" t="inlineStr">
        <is>
          <t>Denumire</t>
        </is>
      </c>
      <c r="D3" s="48">
        <f>"UM"</f>
        <v/>
      </c>
      <c r="E3" s="48">
        <f>"Consum"</f>
        <v/>
      </c>
      <c r="F3" s="48">
        <f>"Cantitate"</f>
        <v/>
      </c>
      <c r="G3" s="49">
        <f>'Date cladire'!B2</f>
        <v/>
      </c>
      <c r="H3" s="49">
        <f>'Date cladire'!D2</f>
        <v/>
      </c>
      <c r="I3" s="49" t="n"/>
      <c r="J3" s="49" t="n"/>
      <c r="K3" s="49" t="n"/>
      <c r="L3" s="49" t="n"/>
      <c r="M3" s="49" t="n"/>
      <c r="N3" s="49" t="n"/>
    </row>
    <row r="4" ht="27.75" customFormat="1" customHeight="1" s="263">
      <c r="A4" s="12">
        <f>"1"</f>
        <v/>
      </c>
      <c r="B4" s="13">
        <f>"CB47A1"</f>
        <v/>
      </c>
      <c r="C4" s="13" t="inlineStr">
        <is>
          <t>Schela metalica tubulara lucrari pe suprafete verticale pîna la 30 m înaltime inclusiv ;</t>
        </is>
      </c>
      <c r="D4" s="13">
        <f>"mp"</f>
        <v/>
      </c>
      <c r="E4" s="210" t="inlineStr">
        <is>
          <t>1.0</t>
        </is>
      </c>
      <c r="F4" s="211">
        <f>E4</f>
        <v/>
      </c>
      <c r="G4" s="66">
        <f>$E$2*1.1*('Date cladire'!B52+'Date cladire'!B60*'Date cladire'!B53+'Date cladire'!B54+'Date cladire'!B58+'Date cladire'!B59)</f>
        <v/>
      </c>
      <c r="H4" s="128">
        <f>$E$2*1.1*('Date cladire'!D52+'Date cladire'!D60*'Date cladire'!D53+'Date cladire'!D54+'Date cladire'!D58+'Date cladire'!D59)</f>
        <v/>
      </c>
      <c r="I4" s="128" t="n"/>
      <c r="J4" s="128" t="n"/>
      <c r="K4" s="128" t="n"/>
      <c r="L4" s="128" t="n"/>
      <c r="M4" s="128" t="n"/>
      <c r="N4" s="128" t="n"/>
    </row>
    <row r="5" ht="27" customFormat="1" customHeight="1" s="263">
      <c r="A5" s="12">
        <f>"2"</f>
        <v/>
      </c>
      <c r="B5" s="13">
        <f>"AUT7606A1[ 1 ]"</f>
        <v/>
      </c>
      <c r="C5" s="13" t="inlineStr">
        <is>
          <t xml:space="preserve">Schela metalica tubulara de exterior 11-13,5t </t>
        </is>
      </c>
      <c r="D5" s="13">
        <f>"mp"</f>
        <v/>
      </c>
      <c r="E5" s="210" t="inlineStr">
        <is>
          <t>1.0</t>
        </is>
      </c>
      <c r="F5" s="211">
        <f>E5</f>
        <v/>
      </c>
      <c r="G5" s="66">
        <f>G4</f>
        <v/>
      </c>
      <c r="H5" s="128" t="n"/>
      <c r="I5" s="128" t="n"/>
      <c r="J5" s="128" t="n"/>
      <c r="K5" s="128" t="n"/>
      <c r="L5" s="128" t="n"/>
      <c r="M5" s="128" t="n"/>
      <c r="N5" s="128" t="n"/>
    </row>
    <row r="6" ht="15" customFormat="1" customHeight="1" s="263">
      <c r="A6" s="12">
        <f>"3"</f>
        <v/>
      </c>
      <c r="B6" s="13">
        <f>"2601252"</f>
        <v/>
      </c>
      <c r="C6" s="13" t="inlineStr">
        <is>
          <t>Plasa protectie-mascare santier</t>
        </is>
      </c>
      <c r="D6" s="13">
        <f>"mp"</f>
        <v/>
      </c>
      <c r="E6" s="210" t="inlineStr">
        <is>
          <t>1.0</t>
        </is>
      </c>
      <c r="F6" s="211">
        <f>E6</f>
        <v/>
      </c>
      <c r="G6" s="66">
        <f>G4</f>
        <v/>
      </c>
      <c r="H6" s="128" t="n"/>
      <c r="I6" s="128" t="n"/>
      <c r="J6" s="128" t="n"/>
      <c r="K6" s="128" t="n"/>
      <c r="L6" s="128" t="n"/>
      <c r="M6" s="128" t="n"/>
      <c r="N6" s="128" t="n"/>
    </row>
    <row r="7" ht="54" customFormat="1" customHeight="1" s="263">
      <c r="A7" s="12">
        <f>"4"</f>
        <v/>
      </c>
      <c r="B7" s="13">
        <f>"CB48A1 [1]"</f>
        <v/>
      </c>
      <c r="C7" s="13" t="inlineStr">
        <is>
          <t>Schela metalica autoridicatoare pentru lucrari la fatade in zonele fara acces - nacela suspendata autoridicatoare montare demontare - asimilat</t>
        </is>
      </c>
      <c r="D7" s="13">
        <f>"mp"</f>
        <v/>
      </c>
      <c r="E7" s="210" t="inlineStr">
        <is>
          <t>1.0</t>
        </is>
      </c>
      <c r="F7" s="211">
        <f>E7</f>
        <v/>
      </c>
      <c r="G7" s="55" t="n">
        <v>0</v>
      </c>
      <c r="H7" s="56" t="n"/>
      <c r="I7" s="56" t="n"/>
      <c r="J7" s="56" t="n"/>
      <c r="K7" s="56" t="n"/>
      <c r="L7" s="56" t="n"/>
      <c r="M7" s="56" t="n"/>
      <c r="N7" s="56" t="n"/>
    </row>
    <row r="8" ht="67.5" customFormat="1" customHeight="1" s="263">
      <c r="A8" s="12">
        <f>"5"</f>
        <v/>
      </c>
      <c r="B8" s="13">
        <f>"AUT7101 [1]"</f>
        <v/>
      </c>
      <c r="C8" s="13" t="inlineStr">
        <is>
          <t xml:space="preserve">Nacela electrica autoridicatoare, actionata electric, pe cabluri pentru lucrari la fatade in zone fara acces (ansamblu complet, platforma de lucru, mecanism de ridicare, mecanism de suspendare, sistem de siguranta) </t>
        </is>
      </c>
      <c r="D8" s="13">
        <f>"mp"</f>
        <v/>
      </c>
      <c r="E8" s="210" t="inlineStr">
        <is>
          <t>1.0</t>
        </is>
      </c>
      <c r="F8" s="211">
        <f>E8</f>
        <v/>
      </c>
      <c r="G8" s="55" t="n">
        <v>0</v>
      </c>
      <c r="H8" s="56" t="n"/>
      <c r="I8" s="56" t="n"/>
      <c r="J8" s="56" t="n"/>
      <c r="K8" s="56" t="n"/>
      <c r="L8" s="56" t="n"/>
      <c r="M8" s="56" t="n"/>
      <c r="N8" s="56" t="n"/>
    </row>
    <row r="9" ht="27" customFormat="1" customHeight="1" s="263">
      <c r="A9" s="12">
        <f>"6"</f>
        <v/>
      </c>
      <c r="B9" s="13">
        <f>"MDTC5517010 [1]"</f>
        <v/>
      </c>
      <c r="C9" s="13" t="inlineStr">
        <is>
          <t xml:space="preserve">Transport utilaj...10 km nacela autoridicatoare </t>
        </is>
      </c>
      <c r="D9" s="13">
        <f>"buc"</f>
        <v/>
      </c>
      <c r="E9" s="210" t="inlineStr">
        <is>
          <t>1.0</t>
        </is>
      </c>
      <c r="F9" s="211">
        <f>E9</f>
        <v/>
      </c>
      <c r="G9" s="55" t="n">
        <v>0</v>
      </c>
      <c r="H9" s="56" t="n"/>
      <c r="I9" s="56" t="n"/>
      <c r="J9" s="56" t="n"/>
      <c r="K9" s="56" t="n"/>
      <c r="L9" s="56" t="n"/>
      <c r="M9" s="56" t="n"/>
      <c r="N9" s="56" t="n"/>
    </row>
    <row r="10" ht="40.5" customFormat="1" customHeight="1" s="263">
      <c r="A10" s="12" t="n"/>
      <c r="B10" s="13" t="inlineStr">
        <is>
          <t>NMB012391 [2]</t>
        </is>
      </c>
      <c r="C10" s="13" t="inlineStr">
        <is>
          <t xml:space="preserve">Spor manopera - pentru lucrari de termoizolare pereti exteriori cu alpinisti utilitari </t>
        </is>
      </c>
      <c r="D10" s="49" t="inlineStr">
        <is>
          <t>mp</t>
        </is>
      </c>
      <c r="E10" s="67" t="n"/>
      <c r="F10" s="67" t="n"/>
      <c r="G10" s="55" t="n">
        <v>0</v>
      </c>
      <c r="H10" s="56" t="n"/>
      <c r="I10" s="56" t="n"/>
      <c r="J10" s="56" t="n"/>
      <c r="K10" s="56" t="n"/>
      <c r="L10" s="56" t="n"/>
      <c r="M10" s="56" t="n"/>
      <c r="N10" s="56" t="n"/>
    </row>
    <row r="11" ht="27" customFormat="1" customHeight="1" s="263">
      <c r="A11" s="12">
        <f>"7"</f>
        <v/>
      </c>
      <c r="B11" s="13">
        <f>"H1C13A [2]"</f>
        <v/>
      </c>
      <c r="C11" s="13" t="inlineStr">
        <is>
          <t>Esafodaje diverse din lemn la lucrari de constructii</t>
        </is>
      </c>
      <c r="D11" s="13">
        <f>"mp"</f>
        <v/>
      </c>
      <c r="E11" s="210" t="inlineStr">
        <is>
          <t>1.0</t>
        </is>
      </c>
      <c r="F11" s="211">
        <f>E11</f>
        <v/>
      </c>
      <c r="G11" s="66">
        <f>$E$2*1.2*('Date cladire'!B10*'Date cladire'!B26)</f>
        <v/>
      </c>
      <c r="H11" s="128">
        <f>$E$2*1.2*('Date cladire'!D10*'Date cladire'!D26)</f>
        <v/>
      </c>
      <c r="I11" s="128" t="n"/>
      <c r="J11" s="128" t="n"/>
      <c r="K11" s="128" t="n"/>
      <c r="L11" s="128" t="n"/>
      <c r="M11" s="128" t="n"/>
      <c r="N11" s="128" t="n"/>
    </row>
    <row r="12" ht="81" customFormat="1" customHeight="1" s="263">
      <c r="A12" s="12">
        <f>"8"</f>
        <v/>
      </c>
      <c r="B12" s="13" t="inlineStr">
        <is>
          <t>IZF35D+[ 20 ]</t>
        </is>
      </c>
      <c r="C12" s="13" t="inlineStr">
        <is>
          <t>Sistem termoizolant pentru elemente de fatada realizat cu polistiren expandat de 15 cm grosime (agrementat in Romania, cu o durabilitate garantata de min 10 ani) pentru zona de camp, strat finisaj exterior realizat cu tencuiala decorativa.</t>
        </is>
      </c>
      <c r="D12" s="13">
        <f>"mp"</f>
        <v/>
      </c>
      <c r="E12" s="210" t="inlineStr">
        <is>
          <t>1.0</t>
        </is>
      </c>
      <c r="F12" s="211">
        <f>E12</f>
        <v/>
      </c>
      <c r="G12" s="66">
        <f>$E$2*(('Date cladire'!B55+'Date cladire'!B60*'Date cladire'!B56+'Date cladire'!B57+'Date cladire'!B59-(G13/E2))-D_005!G7)</f>
        <v/>
      </c>
      <c r="H12" s="128">
        <f>$E$2*(('Date cladire'!D55+'Date cladire'!D60*'Date cladire'!D56+'Date cladire'!D57+'Date cladire'!D59-(G13/E2))-D_005!G7)</f>
        <v/>
      </c>
      <c r="I12" s="128" t="n"/>
      <c r="J12" s="128" t="n"/>
      <c r="K12" s="128" t="n"/>
      <c r="L12" s="128" t="n"/>
      <c r="M12" s="128" t="n"/>
      <c r="N12" s="128" t="n"/>
    </row>
    <row r="13" ht="81" customFormat="1" customHeight="1" s="263">
      <c r="A13" s="12">
        <f>"9"</f>
        <v/>
      </c>
      <c r="B13" s="13" t="inlineStr">
        <is>
          <t>IZF35D+[ 57 ]</t>
        </is>
      </c>
      <c r="C13" s="13" t="inlineStr">
        <is>
          <t>Sistem termoizolant pentru elemente de fatada realizat cu vata minerala bazaltica de 15 cm grosime (agrementat in Romania, cu o durabilitate garantata de min 10 ani), strat finisaj exterior realizat cu tencuiala decorativa.</t>
        </is>
      </c>
      <c r="D13" s="13">
        <f>"mp"</f>
        <v/>
      </c>
      <c r="E13" s="210" t="inlineStr">
        <is>
          <t>1.0</t>
        </is>
      </c>
      <c r="F13" s="211">
        <f>E13</f>
        <v/>
      </c>
      <c r="G13" s="52">
        <f>$E$2*0.6*(('Date cladire'!B5+'Date cladire'!B60*'Date cladire'!B6)-D_005!G8)</f>
        <v/>
      </c>
      <c r="H13">
        <f>$E$2*0.6*(('Date cladire'!D5+'Date cladire'!D60*'Date cladire'!D6)-D_005!G8)</f>
        <v/>
      </c>
    </row>
    <row r="14" ht="67.5" customFormat="1" customHeight="1" s="263">
      <c r="A14" s="12">
        <f>"10"</f>
        <v/>
      </c>
      <c r="B14" s="13" t="inlineStr">
        <is>
          <t xml:space="preserve"> +IZF01O4 [ 1]</t>
        </is>
      </c>
      <c r="C14" s="13" t="inlineStr">
        <is>
          <t>Sistem termoizolant realizat cu polistiren expandat de 15 cm grosime la tavane exterioare (agrementat in Romania cu o durabilitate garantata de min 10 ani), strat finisaj vopsea lavabila</t>
        </is>
      </c>
      <c r="D14" s="13">
        <f>"mp"</f>
        <v/>
      </c>
      <c r="E14" s="210" t="inlineStr">
        <is>
          <t>1.0</t>
        </is>
      </c>
      <c r="F14" s="211">
        <f>E14</f>
        <v/>
      </c>
      <c r="G14" s="68">
        <f>$E$2*4.72*4</f>
        <v/>
      </c>
      <c r="H14" s="56" t="n"/>
      <c r="I14" s="56" t="n"/>
      <c r="J14" s="56" t="n"/>
      <c r="K14" s="56" t="n"/>
      <c r="L14" s="56" t="n"/>
      <c r="M14" s="56" t="n"/>
      <c r="N14" s="56" t="n"/>
    </row>
    <row r="15" ht="40.5" customFormat="1" customHeight="1" s="263">
      <c r="A15" s="12">
        <f>"11"</f>
        <v/>
      </c>
      <c r="B15" s="13">
        <f>"+IZF01O4 [14]"</f>
        <v/>
      </c>
      <c r="C15" s="13" t="inlineStr">
        <is>
          <t>Sistem termoizolant realizat cu polistiren expandat de 15 cm grosime la interior la tavane strat finisaj vopsea lavabila</t>
        </is>
      </c>
      <c r="D15" s="13">
        <f>"mp"</f>
        <v/>
      </c>
      <c r="E15" s="210" t="inlineStr">
        <is>
          <t>1.0</t>
        </is>
      </c>
      <c r="F15" s="211">
        <f>E15</f>
        <v/>
      </c>
      <c r="G15" s="68">
        <f>$E$2*0</f>
        <v/>
      </c>
      <c r="H15" s="56" t="n"/>
      <c r="I15" s="56" t="n"/>
      <c r="J15" s="56" t="n"/>
      <c r="K15" s="56" t="n"/>
      <c r="L15" s="56" t="n"/>
      <c r="M15" s="56" t="n"/>
      <c r="N15" s="56" t="n"/>
    </row>
    <row r="16" ht="81" customFormat="1" customHeight="1" s="263">
      <c r="A16" s="12">
        <f>"12"</f>
        <v/>
      </c>
      <c r="B16" s="13" t="inlineStr">
        <is>
          <t>IZF35D+ [28]</t>
        </is>
      </c>
      <c r="C16" s="13" t="inlineStr">
        <is>
          <t>Sistem termoizolant pentru elemente de fatada realizat cu polistiren extrudat de 3 cm grosime (agrementat in Romania, cu o durabilitate garantata de min 10 ani) pentru zona spaletilor, strat finisaj exterior realizat cu tencuiala decorativa</t>
        </is>
      </c>
      <c r="D16" s="13">
        <f>"mp"</f>
        <v/>
      </c>
      <c r="E16" s="210" t="inlineStr">
        <is>
          <t>1.0</t>
        </is>
      </c>
      <c r="F16" s="211">
        <f>E16</f>
        <v/>
      </c>
      <c r="G16" s="66">
        <f>$E$2*0.3*('Date cladire'!B25+'Date cladire'!B27)+$E$2*0.3*'Date cladire'!B29</f>
        <v/>
      </c>
      <c r="H16" s="128">
        <f>$E$2*0.3*('Date cladire'!D25+'Date cladire'!D27)+$E$2*0.3*'Date cladire'!D29</f>
        <v/>
      </c>
      <c r="I16" s="128" t="n"/>
      <c r="J16" s="128" t="n"/>
      <c r="K16" s="128" t="n"/>
      <c r="L16" s="128" t="n"/>
      <c r="M16" s="128" t="n"/>
      <c r="N16" s="128" t="n"/>
    </row>
    <row r="17" ht="67.5" customFormat="1" customHeight="1" s="263">
      <c r="A17" s="12">
        <f>"13"</f>
        <v/>
      </c>
      <c r="B17" s="13" t="inlineStr">
        <is>
          <t>IZF35D+ [32]</t>
        </is>
      </c>
      <c r="C17" s="13" t="inlineStr">
        <is>
          <t xml:space="preserve">Sistem termoizolant pentru elemente de fatadarealizat cu polistiren extrudat de 3 cm grosime (agrementat in Romania, cu o durabilitate garantata de min 10 ani) la spaleti, pentru zona de glaf exterior </t>
        </is>
      </c>
      <c r="D17" s="13">
        <f>"mp"</f>
        <v/>
      </c>
      <c r="E17" s="210" t="inlineStr">
        <is>
          <t>1.0</t>
        </is>
      </c>
      <c r="F17" s="211">
        <f>E17</f>
        <v/>
      </c>
      <c r="G17" s="52">
        <f>$E$2*0.3*'Date cladire'!B24+$E$2*0.15*'Date cladire'!B28</f>
        <v/>
      </c>
      <c r="H17">
        <f>$E$2*0.3*'Date cladire'!D24+$E$2*0.15*'Date cladire'!D28</f>
        <v/>
      </c>
    </row>
    <row r="18" ht="72" customFormat="1" customHeight="1" s="263">
      <c r="A18" s="12">
        <f>"14"</f>
        <v/>
      </c>
      <c r="B18" s="13">
        <f>"CP37J1 [9]"</f>
        <v/>
      </c>
      <c r="C18" s="13" t="inlineStr">
        <is>
          <t>Etansarea rosturilor verticale la fatade cu fâsii din placi termoizolante de 5 cm grosime cu coeficient de transfer termic de maxim 0,038 W/mK si profil de rost</t>
        </is>
      </c>
      <c r="D18" s="13">
        <f>"m"</f>
        <v/>
      </c>
      <c r="E18" s="210" t="inlineStr">
        <is>
          <t>1.0</t>
        </is>
      </c>
      <c r="F18" s="211">
        <f>E18</f>
        <v/>
      </c>
      <c r="G18" s="55">
        <f>$E$2*0*'Date cladire'!B16</f>
        <v/>
      </c>
      <c r="H18" s="56">
        <f>$E$2*0*'Date cladire'!D16</f>
        <v/>
      </c>
      <c r="I18" s="56" t="n"/>
      <c r="J18" s="56" t="n"/>
      <c r="K18" s="56" t="n"/>
      <c r="L18" s="56" t="n"/>
      <c r="M18" s="56" t="n"/>
      <c r="N18" s="56" t="n"/>
      <c r="O18" s="69" t="inlineStr">
        <is>
          <t>Rostul de dilatatie sau tasare intre 2 scari: suma inaltimea cladirii x 2 (masurat din fatade existente poate sunt diferite inaltimile). De verificat cu pozele sa fie reprezentate.</t>
        </is>
      </c>
    </row>
    <row r="19" ht="54" customFormat="1" customHeight="1" s="263">
      <c r="A19" s="12">
        <f>"15"</f>
        <v/>
      </c>
      <c r="B19" s="13">
        <f>"IZF33B+[ 9 ]"</f>
        <v/>
      </c>
      <c r="C19" s="13" t="inlineStr">
        <is>
          <t>Montare profile de protectie a stratului  termoizolant aferent sistemului  de izolare termica Profil metalic cu picurator, montat la partea superioara a spaletilor exteriori</t>
        </is>
      </c>
      <c r="D19" s="13">
        <f>"ml"</f>
        <v/>
      </c>
      <c r="E19" s="210" t="inlineStr">
        <is>
          <t>1.0</t>
        </is>
      </c>
      <c r="F19" s="211">
        <f>E19</f>
        <v/>
      </c>
      <c r="G19" s="52">
        <f>$E$2*('Date cladire'!B24+'Date cladire'!B26+'Date cladire'!B28)</f>
        <v/>
      </c>
      <c r="H19">
        <f>$E$2*('Date cladire'!D24+'Date cladire'!D26+'Date cladire'!D28)</f>
        <v/>
      </c>
    </row>
    <row r="20" ht="40.5" customFormat="1" customHeight="1" s="263">
      <c r="A20" s="12">
        <f>"16"</f>
        <v/>
      </c>
      <c r="B20" s="13">
        <f>"IZF33B+[ 10 ]"</f>
        <v/>
      </c>
      <c r="C20" s="13" t="inlineStr">
        <is>
          <t xml:space="preserve">Montare profile de protectie a stratului  termoizolant aferent sistemului  de izolare termica Profil metalic pentru colturi. </t>
        </is>
      </c>
      <c r="D20" s="13">
        <f>"ml"</f>
        <v/>
      </c>
      <c r="E20" s="210" t="inlineStr">
        <is>
          <t>1.0</t>
        </is>
      </c>
      <c r="F20" s="211">
        <f>E20</f>
        <v/>
      </c>
      <c r="G20" s="52">
        <f>$E$2*('Date cladire'!B61*'Date cladire'!B16+'Date cladire'!B63*'Date cladire'!B17+1.05*'Date cladire'!B60*'Date cladire'!B62+'Date cladire'!B25+'Date cladire'!B27+'Date cladire'!B29)</f>
        <v/>
      </c>
      <c r="H20">
        <f>$E$2*('Date cladire'!D61*'Date cladire'!D16+'Date cladire'!D63*'Date cladire'!D17+1.05*'Date cladire'!D60*'Date cladire'!D62+'Date cladire'!D25+'Date cladire'!D27+'Date cladire'!D29)</f>
        <v/>
      </c>
    </row>
    <row r="21" ht="54" customFormat="1" customHeight="1" s="263">
      <c r="A21" s="12">
        <f>"17"</f>
        <v/>
      </c>
      <c r="B21" s="13">
        <f>"IZF33A+ [4]"</f>
        <v/>
      </c>
      <c r="C21" s="13" t="inlineStr">
        <is>
          <t>Montare profile de protectie a stratului  termoizolant aferent sistemului  de izolare termica ... Profil metalic pentru soclu latime 15cm</t>
        </is>
      </c>
      <c r="D21" s="13">
        <f>"ml"</f>
        <v/>
      </c>
      <c r="E21" s="210" t="inlineStr">
        <is>
          <t>1.0</t>
        </is>
      </c>
      <c r="F21" s="211">
        <f>E21</f>
        <v/>
      </c>
      <c r="G21" s="52">
        <f>$E$2*'Date cladire'!B4</f>
        <v/>
      </c>
      <c r="H21">
        <f>$E$2*'Date cladire'!D4</f>
        <v/>
      </c>
    </row>
    <row r="22" ht="81" customFormat="1" customHeight="1" s="263">
      <c r="A22" s="12">
        <f>"18"</f>
        <v/>
      </c>
      <c r="B22" s="13" t="inlineStr">
        <is>
          <t>IZF34B+ [3]</t>
        </is>
      </c>
      <c r="C22" s="13" t="inlineStr">
        <is>
          <t xml:space="preserve">Sistem termoizolant pentru elemente de soclu si pereti de subsol realizat cu polistiren extrudat de 10 cm (agrem. in Romania, durabilitate garantata de min 10 ani ), la partea supraterana a soclului, strat finisaj tencuiala mozaicata pentru soclu. </t>
        </is>
      </c>
      <c r="D22" s="13">
        <f>"mp"</f>
        <v/>
      </c>
      <c r="E22" s="210" t="inlineStr">
        <is>
          <t>1.0</t>
        </is>
      </c>
      <c r="F22" s="211">
        <f>E22</f>
        <v/>
      </c>
      <c r="G22" s="52">
        <f>$E$2*'Date cladire'!B58</f>
        <v/>
      </c>
      <c r="H22">
        <f>$E$2*'Date cladire'!D58</f>
        <v/>
      </c>
    </row>
    <row r="23" ht="54" customFormat="1" customHeight="1" s="263">
      <c r="A23" s="12">
        <f>"19"</f>
        <v/>
      </c>
      <c r="B23" s="13">
        <f>"CK26A# [29]"</f>
        <v/>
      </c>
      <c r="C23" s="13" t="inlineStr">
        <is>
          <t>Glafuri, pervaze gata confectionate din tabla zincata vopsita in camp electrostatic grosime 0,7mm, latime medie 45cm, montate la ferestre la exterior, fara imbinare pe lungime.</t>
        </is>
      </c>
      <c r="D23" s="13">
        <f>"m"</f>
        <v/>
      </c>
      <c r="E23" s="210" t="inlineStr">
        <is>
          <t>1.0</t>
        </is>
      </c>
      <c r="F23" s="211">
        <f>E23</f>
        <v/>
      </c>
      <c r="G23" s="52">
        <f>$E$2*'Date cladire'!B24</f>
        <v/>
      </c>
      <c r="H23">
        <f>$E$2*'Date cladire'!D24</f>
        <v/>
      </c>
    </row>
    <row r="24" ht="54" customFormat="1" customHeight="1" s="263">
      <c r="A24" s="12">
        <f>"20"</f>
        <v/>
      </c>
      <c r="B24" s="13">
        <f>"CK26A# [30]"</f>
        <v/>
      </c>
      <c r="C24" s="13" t="inlineStr">
        <is>
          <t>Glafuri, pervaze gata confectionate din tabla zincata vopsita in camp electrostatic grosime 0,7mm, latime medie 35cm, montate la ferestre la exterior, fara imbinare pe lungime.</t>
        </is>
      </c>
      <c r="D24" s="13">
        <f>"m"</f>
        <v/>
      </c>
      <c r="E24" s="210" t="inlineStr">
        <is>
          <t>1.0</t>
        </is>
      </c>
      <c r="F24" s="211">
        <f>E24</f>
        <v/>
      </c>
      <c r="G24" s="52">
        <f>$E$2*'Date cladire'!B28</f>
        <v/>
      </c>
      <c r="H24">
        <f>$E$2*'Date cladire'!D28</f>
        <v/>
      </c>
    </row>
    <row r="25" ht="40.5" customFormat="1" customHeight="1" s="263">
      <c r="A25" s="12">
        <f>"21"</f>
        <v/>
      </c>
      <c r="B25" s="13">
        <f>"TRA02A10"</f>
        <v/>
      </c>
      <c r="C25" s="13" t="inlineStr">
        <is>
          <t xml:space="preserve">Transportul rutier al materialelor,semifabricatelor cu autocamionul pe dist.= ...10 km.  </t>
        </is>
      </c>
      <c r="D25" s="13">
        <f>"tona"</f>
        <v/>
      </c>
      <c r="E25" s="210" t="inlineStr">
        <is>
          <t>1.0</t>
        </is>
      </c>
      <c r="F25" s="211">
        <f>E25</f>
        <v/>
      </c>
      <c r="G25" s="70">
        <f>(G12+G13+G14+G15+G16+G17+G22+G29+G43+G44+G45)*20/1000+(G19*1+G20*1+G21*1.5+G23*1+G24*0.8)/1000</f>
        <v/>
      </c>
      <c r="H25" s="71" t="n"/>
      <c r="I25" s="71" t="n"/>
      <c r="J25" s="71" t="n"/>
      <c r="K25" s="71" t="n"/>
      <c r="L25" s="71" t="n"/>
      <c r="M25" s="71" t="n"/>
      <c r="N25" s="71" t="n"/>
    </row>
    <row r="26" ht="40.5" customFormat="1" customHeight="1" s="263">
      <c r="A26" s="12">
        <f>"22"</f>
        <v/>
      </c>
      <c r="B26" s="13">
        <f>"TRI1AC13E1"</f>
        <v/>
      </c>
      <c r="C26" s="13" t="inlineStr">
        <is>
          <t>Descarcare...materiale gr.c-ambalate,10-50 kg deplas.prin purtare pina la 10m,asez..auto-rampa,teren ctg</t>
        </is>
      </c>
      <c r="D26" s="13">
        <f>"tona"</f>
        <v/>
      </c>
      <c r="E26" s="210" t="inlineStr">
        <is>
          <t>1.0</t>
        </is>
      </c>
      <c r="F26" s="211">
        <f>E26</f>
        <v/>
      </c>
      <c r="G26" s="70">
        <f>G25</f>
        <v/>
      </c>
      <c r="H26" s="71" t="n"/>
      <c r="I26" s="71" t="n"/>
      <c r="J26" s="71" t="n"/>
      <c r="K26" s="71" t="n"/>
      <c r="L26" s="71" t="n"/>
      <c r="M26" s="71" t="n"/>
      <c r="N26" s="71" t="n"/>
    </row>
    <row r="27" ht="40.5" customFormat="1" customHeight="1" s="263">
      <c r="A27" s="12">
        <f>"23"</f>
        <v/>
      </c>
      <c r="B27" s="13">
        <f>"TRB05A22"</f>
        <v/>
      </c>
      <c r="C27" s="13" t="inlineStr">
        <is>
          <t xml:space="preserve">Transportul materialelor prin purtat direct.materiale...incomode sub 25 kg distanta 20m  </t>
        </is>
      </c>
      <c r="D27" s="13">
        <f>"tona"</f>
        <v/>
      </c>
      <c r="E27" s="210" t="inlineStr">
        <is>
          <t>1.0</t>
        </is>
      </c>
      <c r="F27" s="211">
        <f>E27</f>
        <v/>
      </c>
      <c r="G27" s="70">
        <f>G26</f>
        <v/>
      </c>
      <c r="H27" s="71" t="n"/>
      <c r="I27" s="71" t="n"/>
      <c r="J27" s="71" t="n"/>
      <c r="K27" s="71" t="n"/>
      <c r="L27" s="71" t="n"/>
      <c r="M27" s="71" t="n"/>
      <c r="N27" s="71" t="n"/>
    </row>
    <row r="28" ht="40.5" customFormat="1" customHeight="1" s="263">
      <c r="A28" s="12">
        <f>"24"</f>
        <v/>
      </c>
      <c r="B28" s="13">
        <f>"MDTC5506010"</f>
        <v/>
      </c>
      <c r="C28" s="13" t="inlineStr">
        <is>
          <t>Transport utilaj...10 km 90100011 schela metalica tubulara de exterior cu s=640mp g=11-13,5t</t>
        </is>
      </c>
      <c r="D28" s="13">
        <f>"buc"</f>
        <v/>
      </c>
      <c r="E28" s="210" t="inlineStr">
        <is>
          <t>1.0</t>
        </is>
      </c>
      <c r="F28" s="211">
        <f>E28</f>
        <v/>
      </c>
      <c r="G28" s="70">
        <f>ROUND(G4/640,0)</f>
        <v/>
      </c>
      <c r="H28" s="71" t="n"/>
      <c r="I28" s="71" t="n"/>
      <c r="J28" s="71" t="n"/>
      <c r="K28" s="71" t="n"/>
      <c r="L28" s="71" t="n"/>
      <c r="M28" s="71" t="n"/>
      <c r="N28" s="71" t="n"/>
    </row>
    <row r="29" ht="81" customFormat="1" customHeight="1" s="263">
      <c r="A29" s="12" t="n">
        <v>25</v>
      </c>
      <c r="B29" s="13" t="inlineStr">
        <is>
          <t>IZF35D+ [29]</t>
        </is>
      </c>
      <c r="C29" s="13" t="inlineStr">
        <is>
          <t>Sistem termoizolant pentru elemente de fatada realizat cu polistiren expandat de 15 cm grosime (agrem. in Romania, cu o durabilitate garantata de min 10 ani) pentru zona de camp fixat cu adeziv poliuretanic, strat finisaj exterior realizat cu tencuiala decorativa.</t>
        </is>
      </c>
      <c r="D29" s="13">
        <f>"mp"</f>
        <v/>
      </c>
      <c r="E29" s="210" t="inlineStr">
        <is>
          <t>1.0</t>
        </is>
      </c>
      <c r="F29" s="211">
        <f>E29</f>
        <v/>
      </c>
      <c r="G29" s="55" t="n">
        <v>0</v>
      </c>
      <c r="H29" s="56" t="n"/>
      <c r="I29" s="56" t="n"/>
      <c r="J29" s="56" t="n"/>
      <c r="K29" s="56" t="n"/>
      <c r="L29" s="56" t="n"/>
      <c r="M29" s="56" t="n"/>
      <c r="N29" s="56" t="n"/>
      <c r="O29" s="51" t="inlineStr">
        <is>
          <t xml:space="preserve">folosim cand e cu adeziv poliuretanic Bl cu sarpanta si calcanul din lemn </t>
        </is>
      </c>
    </row>
    <row r="30" ht="81" customFormat="1" customHeight="1" s="263">
      <c r="A30" s="12" t="n">
        <v>26</v>
      </c>
      <c r="B30" s="13" t="inlineStr">
        <is>
          <t>IZF35D+ [78]</t>
        </is>
      </c>
      <c r="C30" s="13" t="inlineStr">
        <is>
          <t>Sistem termoizolant pentru elemente de fatada realizat cu vata minerala bazaltica de 15 cm grosime (agrementat in Romania, cu o durabilitate garantata de min 10 ani), strat finisaj exterior masa de spaclu sub sarpante false</t>
        </is>
      </c>
      <c r="D30" s="49" t="inlineStr">
        <is>
          <t>mp</t>
        </is>
      </c>
      <c r="E30" s="67" t="n"/>
      <c r="F30" s="67" t="n"/>
      <c r="G30" s="55" t="n"/>
      <c r="H30" s="56" t="n"/>
      <c r="I30" s="56" t="n"/>
      <c r="J30" s="56" t="n"/>
      <c r="K30" s="56" t="n"/>
      <c r="L30" s="56" t="n"/>
      <c r="M30" s="56" t="n"/>
      <c r="N30" s="56" t="n"/>
    </row>
    <row r="31" ht="27" customFormat="1" customHeight="1" s="263">
      <c r="A31" s="12" t="n">
        <v>28</v>
      </c>
      <c r="B31" s="13" t="inlineStr">
        <is>
          <t>CK26A# [38]</t>
        </is>
      </c>
      <c r="C31" s="13" t="inlineStr">
        <is>
          <t xml:space="preserve">Glafuri interioare din PVC montate la ferestre - spatii comune </t>
        </is>
      </c>
      <c r="D31" s="72" t="inlineStr">
        <is>
          <t>m</t>
        </is>
      </c>
      <c r="E31" s="67" t="n"/>
      <c r="F31" s="67" t="n"/>
      <c r="G31" s="55" t="n"/>
      <c r="H31" s="56" t="n"/>
      <c r="I31" s="56" t="n"/>
      <c r="J31" s="56" t="n"/>
      <c r="K31" s="56" t="n"/>
      <c r="L31" s="56" t="n"/>
      <c r="M31" s="56" t="n"/>
      <c r="N31" s="56" t="n"/>
    </row>
    <row r="32" ht="27" customFormat="1" customHeight="1" s="263">
      <c r="A32" s="12" t="n">
        <v>29</v>
      </c>
      <c r="B32" s="13" t="inlineStr">
        <is>
          <t>CK26A# [38]</t>
        </is>
      </c>
      <c r="C32" s="13" t="inlineStr">
        <is>
          <t>Glafuri interioare din PVC montate la ferestre - spatii individuale</t>
        </is>
      </c>
      <c r="D32" s="72" t="inlineStr">
        <is>
          <t>m</t>
        </is>
      </c>
      <c r="E32" s="67" t="n"/>
      <c r="F32" s="67" t="n"/>
      <c r="G32" s="55" t="n"/>
      <c r="H32" s="56" t="n"/>
      <c r="I32" s="56" t="n"/>
      <c r="J32" s="56" t="n"/>
      <c r="K32" s="56" t="n"/>
      <c r="L32" s="56" t="n"/>
      <c r="M32" s="56" t="n"/>
      <c r="N32" s="56" t="n"/>
    </row>
    <row r="33" ht="33.6" customFormat="1" customHeight="1" s="263">
      <c r="A33" s="12" t="n">
        <v>30</v>
      </c>
      <c r="B33" s="73" t="inlineStr">
        <is>
          <t>CL20A1 [7]</t>
        </is>
      </c>
      <c r="C33" s="74" t="inlineStr">
        <is>
          <t xml:space="preserve">Confectii metalice diverse din profile metalice pentru sustineri si consolidari </t>
        </is>
      </c>
      <c r="D33" s="67" t="inlineStr">
        <is>
          <t>kg</t>
        </is>
      </c>
      <c r="E33" s="67" t="n"/>
      <c r="F33" s="67" t="n"/>
      <c r="G33" s="55" t="n"/>
      <c r="H33" s="56" t="n"/>
      <c r="I33" s="56" t="n"/>
      <c r="J33" s="56" t="n"/>
      <c r="K33" s="262" t="n"/>
      <c r="L33" s="56" t="n"/>
      <c r="M33" s="56" t="n"/>
      <c r="N33" s="56" t="n"/>
    </row>
    <row r="34" ht="26.4" customFormat="1" customHeight="1" s="263">
      <c r="A34" s="12" t="n">
        <v>31</v>
      </c>
      <c r="B34" s="73" t="inlineStr">
        <is>
          <t xml:space="preserve">CD18A% [13]
</t>
        </is>
      </c>
      <c r="C34" s="74" t="inlineStr">
        <is>
          <t>Placare cu placi de ciment armate cu plasa din fibra de sticla tip placocem la diverse elemente de constructie</t>
        </is>
      </c>
      <c r="D34" s="67" t="inlineStr">
        <is>
          <t>mp</t>
        </is>
      </c>
      <c r="E34" s="67" t="n"/>
      <c r="F34" s="67" t="n"/>
      <c r="G34" s="55" t="n"/>
      <c r="H34" s="56" t="n"/>
      <c r="I34" s="56" t="n"/>
      <c r="J34" s="75" t="n"/>
      <c r="L34" s="56" t="n"/>
      <c r="M34" s="56" t="n"/>
      <c r="N34" s="56" t="n"/>
    </row>
    <row r="35" ht="26.4" customFormat="1" customHeight="1" s="263">
      <c r="A35" s="12" t="n">
        <v>32</v>
      </c>
      <c r="B35" s="13" t="inlineStr">
        <is>
          <t>VB13A1[ 5 ]</t>
        </is>
      </c>
      <c r="C35" s="13" t="inlineStr">
        <is>
          <t xml:space="preserve">Rama cu jaluzele fixe cu plasa avand perimetrul de 700-1400 mm pentru aerisire </t>
        </is>
      </c>
      <c r="D35" s="67" t="inlineStr">
        <is>
          <t>buc</t>
        </is>
      </c>
      <c r="E35" s="67" t="n"/>
      <c r="F35" s="67" t="n"/>
      <c r="G35" s="55" t="n"/>
      <c r="H35" s="56" t="n"/>
      <c r="I35" s="56" t="n"/>
      <c r="J35" s="75" t="n"/>
      <c r="L35" s="56" t="n"/>
      <c r="M35" s="56" t="n"/>
      <c r="N35" s="56" t="n"/>
    </row>
    <row r="36" ht="27" customFormat="1" customHeight="1" s="263">
      <c r="A36" s="12" t="n">
        <v>33</v>
      </c>
      <c r="B36" s="13" t="n">
        <v>20027736</v>
      </c>
      <c r="C36" s="13" t="inlineStr">
        <is>
          <t>Grila de ventilare cu plasa dimensiunea 20x20cm</t>
        </is>
      </c>
      <c r="D36" s="67" t="inlineStr">
        <is>
          <t>buc</t>
        </is>
      </c>
      <c r="E36" s="67" t="n"/>
      <c r="F36" s="67" t="n"/>
      <c r="G36" s="55" t="n"/>
      <c r="H36" s="56" t="n"/>
      <c r="I36" s="56" t="n"/>
      <c r="J36" s="75" t="n"/>
      <c r="L36" s="56" t="n"/>
      <c r="M36" s="56" t="n"/>
      <c r="N36" s="56" t="n"/>
    </row>
    <row r="37" ht="27" customFormat="1" customHeight="1" s="263">
      <c r="A37" s="12" t="n">
        <v>34</v>
      </c>
      <c r="B37" s="13" t="inlineStr">
        <is>
          <t>CC09A1 [19]</t>
        </is>
      </c>
      <c r="C37" s="13" t="inlineStr">
        <is>
          <t>Ancorarea chimica a armaturilor FI 12mm L= 150mm</t>
        </is>
      </c>
      <c r="D37" s="67" t="inlineStr">
        <is>
          <t>buc</t>
        </is>
      </c>
      <c r="E37" s="67" t="n"/>
      <c r="F37" s="67" t="n"/>
      <c r="G37" s="55" t="n"/>
      <c r="H37" s="56" t="n"/>
      <c r="I37" s="56" t="n"/>
      <c r="J37" s="75" t="n"/>
      <c r="L37" s="56" t="n"/>
      <c r="M37" s="56" t="n"/>
      <c r="N37" s="56" t="n"/>
    </row>
    <row r="38" ht="27" customFormat="1" customHeight="1" s="263">
      <c r="A38" s="12" t="n">
        <v>35</v>
      </c>
      <c r="B38" s="13" t="inlineStr">
        <is>
          <t>CE15C1 [4]</t>
        </is>
      </c>
      <c r="C38" s="13" t="inlineStr">
        <is>
          <t>Glaf pentru colturi din tabla zincata de 0,5 mm grosime</t>
        </is>
      </c>
      <c r="D38" s="67" t="inlineStr">
        <is>
          <t>m</t>
        </is>
      </c>
      <c r="E38" s="67" t="n"/>
      <c r="F38" s="67" t="n"/>
      <c r="G38" s="55" t="n"/>
      <c r="H38" s="56" t="n"/>
      <c r="I38" s="56" t="n"/>
      <c r="J38" s="75" t="n"/>
      <c r="L38" s="56" t="n"/>
      <c r="M38" s="56" t="n"/>
      <c r="N38" s="56" t="n"/>
    </row>
    <row r="39" ht="27" customFormat="1" customHeight="1" s="263">
      <c r="A39" s="12" t="n">
        <v>36</v>
      </c>
      <c r="B39" s="13" t="inlineStr">
        <is>
          <t>RPCXA01A</t>
        </is>
      </c>
      <c r="C39" s="13" t="inlineStr">
        <is>
          <t xml:space="preserve">Sapatura manuala pamant spatii limitate &lt;1m. sub...1. 5m. adinc la sant canale etc. </t>
        </is>
      </c>
      <c r="D39" s="67" t="inlineStr">
        <is>
          <t>mc</t>
        </is>
      </c>
      <c r="E39" s="67" t="n"/>
      <c r="F39" s="67" t="n"/>
      <c r="G39" s="55" t="n"/>
      <c r="H39" s="56" t="n"/>
      <c r="I39" s="56" t="n"/>
      <c r="J39" s="56" t="n"/>
      <c r="L39" s="56" t="n"/>
      <c r="M39" s="56" t="n"/>
      <c r="N39" s="56" t="n"/>
    </row>
    <row r="40" ht="40.5" customFormat="1" customHeight="1" s="263">
      <c r="A40" s="12" t="n">
        <v>37</v>
      </c>
      <c r="B40" s="13" t="inlineStr">
        <is>
          <t>CA01A1</t>
        </is>
      </c>
      <c r="C40" s="13" t="inlineStr">
        <is>
          <t>Turnarea betonului simplu  în fundatii continue, izolate si socluri cu volum pâna la 3 mc, inclusiv</t>
        </is>
      </c>
      <c r="D40" s="67" t="inlineStr">
        <is>
          <t>mc</t>
        </is>
      </c>
      <c r="E40" s="67" t="n"/>
      <c r="F40" s="67" t="n"/>
      <c r="G40" s="55" t="n"/>
      <c r="H40" s="56" t="n"/>
      <c r="I40" s="56" t="n"/>
      <c r="J40" s="56" t="n"/>
      <c r="L40" s="56" t="n"/>
      <c r="M40" s="56" t="n"/>
      <c r="N40" s="56" t="n"/>
    </row>
    <row r="41" ht="15" customFormat="1" customHeight="1" s="263">
      <c r="A41" s="12" t="n">
        <v>38</v>
      </c>
      <c r="B41" s="13" t="n">
        <v>2100971</v>
      </c>
      <c r="C41" s="76" t="inlineStr">
        <is>
          <t>Beton de ciment    B 300   stas  3622</t>
        </is>
      </c>
      <c r="D41" s="67" t="inlineStr">
        <is>
          <t>mc</t>
        </is>
      </c>
      <c r="E41" s="67" t="n"/>
      <c r="F41" s="67" t="n"/>
      <c r="G41" s="55" t="n"/>
      <c r="H41" s="56" t="n"/>
      <c r="I41" s="56" t="n"/>
      <c r="J41" s="56" t="n"/>
      <c r="K41" s="56" t="n"/>
      <c r="L41" s="56" t="n"/>
      <c r="M41" s="56" t="n"/>
      <c r="N41" s="56" t="n"/>
    </row>
    <row r="42" ht="40.5" customFormat="1" customHeight="1" s="263">
      <c r="A42" s="12" t="n">
        <v>39</v>
      </c>
      <c r="B42" s="13" t="inlineStr">
        <is>
          <t>CE18A1</t>
        </is>
      </c>
      <c r="C42" s="13" t="inlineStr">
        <is>
          <t xml:space="preserve">Astereala la învelitori sau la doliile invelitorilor din tigla si azbociment scinduri din rasinoase  </t>
        </is>
      </c>
      <c r="D42" s="13">
        <f>"mp"</f>
        <v/>
      </c>
      <c r="E42" s="210" t="inlineStr">
        <is>
          <t>1.0</t>
        </is>
      </c>
      <c r="F42" s="211">
        <f>E42</f>
        <v/>
      </c>
      <c r="G42" s="55" t="n"/>
      <c r="H42" s="56" t="n"/>
      <c r="I42" s="56" t="n"/>
      <c r="J42" s="56" t="n"/>
      <c r="K42" s="56" t="n"/>
      <c r="L42" s="56" t="n"/>
      <c r="M42" s="56" t="n"/>
      <c r="N42" s="56" t="n"/>
    </row>
    <row r="43" ht="94.5" customHeight="1" s="23">
      <c r="A43" s="10" t="n">
        <v>40</v>
      </c>
      <c r="B43" s="10" t="inlineStr">
        <is>
          <t>IZF35D+ [46]</t>
        </is>
      </c>
      <c r="C43" s="10" t="inlineStr">
        <is>
          <t>Sistem termoizolant pentru elemente de fatada realizat cu polistiren expandat de 15 cm grosime (agrementat in romania cu o durabilitate garantada de min 10 ani) pentru zona de camp strat finisaj exterior realizat cu tencujaiala decorativa imitatie caramida aparenta</t>
        </is>
      </c>
      <c r="D43" s="10" t="inlineStr">
        <is>
          <t>mp</t>
        </is>
      </c>
      <c r="E43" s="10" t="n"/>
      <c r="F43" s="10" t="n"/>
      <c r="G43" s="77" t="n"/>
      <c r="H43" s="57" t="n"/>
      <c r="I43" s="57" t="n"/>
      <c r="J43" s="57" t="n"/>
      <c r="K43" s="57" t="n"/>
      <c r="L43" s="57" t="n"/>
      <c r="M43" s="57" t="n"/>
      <c r="N43" s="57" t="n"/>
    </row>
    <row r="44" ht="94.5" customHeight="1" s="23">
      <c r="A44" s="10" t="n">
        <v>41</v>
      </c>
      <c r="B44" s="10" t="inlineStr">
        <is>
          <t>IZF35D+ [47]</t>
        </is>
      </c>
      <c r="C44" s="10" t="inlineStr">
        <is>
          <t>Sistem termoizolant pentru elemente de fatada realizat cu vata minerala de 15 cm grosime (agrementat in romania cu o durabilitate garantada de min 10 ani) pentru zona de camp strat finisaj exterior realizat cu tencujaiala decorativa imitatie caramida aparenta</t>
        </is>
      </c>
      <c r="D44" s="10" t="inlineStr">
        <is>
          <t>mp</t>
        </is>
      </c>
      <c r="E44" s="10" t="n"/>
      <c r="F44" s="10" t="n"/>
      <c r="G44" s="77" t="n"/>
      <c r="H44" s="57" t="n"/>
      <c r="I44" s="57" t="n"/>
      <c r="J44" s="57" t="n"/>
      <c r="K44" s="57" t="n"/>
      <c r="L44" s="57" t="n"/>
      <c r="M44" s="57" t="n"/>
      <c r="N44" s="57" t="n"/>
    </row>
    <row r="45" ht="67.5" customHeight="1" s="23">
      <c r="A45" s="78" t="n">
        <v>42</v>
      </c>
      <c r="B45" s="11" t="inlineStr">
        <is>
          <t xml:space="preserve"> +IZF01O [9]</t>
        </is>
      </c>
      <c r="C45" s="79" t="inlineStr">
        <is>
          <t xml:space="preserve"> Sistem termoizolant realizat cu polistiren expandat de 10 cm grosime la tavane exterioare (agrementat in Romania cu o durabilitate garantata de min 10 ani), strat finisaj tencuiala decorativa</t>
        </is>
      </c>
      <c r="D45" s="10" t="inlineStr">
        <is>
          <t>mp</t>
        </is>
      </c>
      <c r="E45" s="26" t="n"/>
      <c r="F45" s="26" t="n"/>
      <c r="G45" s="77" t="n"/>
      <c r="H45" s="57" t="n"/>
      <c r="I45" s="57" t="n"/>
      <c r="J45" s="57" t="n"/>
      <c r="K45" s="57" t="n"/>
      <c r="L45" s="57" t="n"/>
      <c r="M45" s="57" t="n"/>
      <c r="N45" s="57" t="n"/>
    </row>
    <row r="46" ht="15" customHeight="1" s="23">
      <c r="A46" s="280" t="n"/>
    </row>
    <row r="47" ht="15" customHeight="1" s="23">
      <c r="A47" s="280" t="n"/>
    </row>
    <row r="48" ht="15" customHeight="1" s="23">
      <c r="A48" s="280" t="n"/>
    </row>
    <row r="49" ht="15" customHeight="1" s="23">
      <c r="A49" s="280" t="n"/>
    </row>
    <row r="50" ht="15" customHeight="1" s="23">
      <c r="A50" s="280" t="n"/>
    </row>
    <row r="51" ht="15" customHeight="1" s="23">
      <c r="A51" s="280" t="n"/>
    </row>
    <row r="52" ht="15" customHeight="1" s="23">
      <c r="A52" s="280" t="n"/>
    </row>
    <row r="53" ht="15" customHeight="1" s="23">
      <c r="A53" s="280" t="n"/>
    </row>
    <row r="54" ht="15" customHeight="1" s="23">
      <c r="A54" s="280" t="n"/>
    </row>
    <row r="55" ht="15" customHeight="1" s="23">
      <c r="A55" s="280" t="n"/>
    </row>
    <row r="56" ht="15" customHeight="1" s="23">
      <c r="A56" s="280" t="n"/>
    </row>
    <row r="57" ht="15" customHeight="1" s="23">
      <c r="A57" s="280" t="n"/>
    </row>
    <row r="58" ht="15" customHeight="1" s="23">
      <c r="A58" s="280" t="n"/>
    </row>
    <row r="59" ht="15" customHeight="1" s="23">
      <c r="A59" s="280" t="n"/>
    </row>
    <row r="60" ht="15" customHeight="1" s="23">
      <c r="A60" s="280" t="n"/>
    </row>
    <row r="61" ht="15" customHeight="1" s="23">
      <c r="A61" s="280" t="n"/>
    </row>
    <row r="62" ht="15" customHeight="1" s="23">
      <c r="A62" s="280" t="n"/>
    </row>
    <row r="63" ht="15" customHeight="1" s="23">
      <c r="A63" s="280" t="n"/>
    </row>
    <row r="64" ht="15" customHeight="1" s="23">
      <c r="A64" s="280" t="n"/>
    </row>
    <row r="65" ht="15" customHeight="1" s="23">
      <c r="A65" s="280" t="n"/>
    </row>
    <row r="66" ht="15" customHeight="1" s="23">
      <c r="A66" s="280" t="n"/>
    </row>
    <row r="67" ht="15" customHeight="1" s="23">
      <c r="A67" s="280" t="n"/>
    </row>
    <row r="68" ht="15" customHeight="1" s="23">
      <c r="A68" s="280" t="n"/>
    </row>
    <row r="69" ht="15" customHeight="1" s="23">
      <c r="A69" s="280" t="n"/>
    </row>
    <row r="70" ht="15" customHeight="1" s="23">
      <c r="A70" s="280" t="n"/>
    </row>
    <row r="71" ht="15" customHeight="1" s="23">
      <c r="A71" s="280" t="n"/>
    </row>
    <row r="72" ht="15" customHeight="1" s="23">
      <c r="A72" s="280" t="n"/>
    </row>
    <row r="73" ht="15" customHeight="1" s="23">
      <c r="A73" s="280" t="n"/>
    </row>
    <row r="74" ht="15" customHeight="1" s="23">
      <c r="A74" s="280" t="n"/>
    </row>
    <row r="75" ht="15" customHeight="1" s="23">
      <c r="A75" s="280" t="n"/>
    </row>
    <row r="76" ht="15" customHeight="1" s="23">
      <c r="A76" s="280" t="n"/>
    </row>
    <row r="77" ht="15" customHeight="1" s="23">
      <c r="A77" s="280" t="n"/>
    </row>
    <row r="78" ht="15" customHeight="1" s="23">
      <c r="A78" s="280" t="n"/>
    </row>
    <row r="79" ht="15" customHeight="1" s="23">
      <c r="A79" s="280" t="n"/>
    </row>
    <row r="80" ht="15" customHeight="1" s="23">
      <c r="A80" s="280" t="n"/>
    </row>
    <row r="81" ht="15" customHeight="1" s="23">
      <c r="A81" s="280" t="n"/>
    </row>
    <row r="82" ht="15" customHeight="1" s="23">
      <c r="A82" s="280" t="n"/>
    </row>
    <row r="83" ht="15" customHeight="1" s="23">
      <c r="A83" s="280" t="n"/>
    </row>
    <row r="84" ht="15" customHeight="1" s="23">
      <c r="A84" s="280" t="n"/>
    </row>
    <row r="85" ht="15" customHeight="1" s="23">
      <c r="A85" s="280" t="n"/>
    </row>
    <row r="86" ht="15" customHeight="1" s="23">
      <c r="A86" s="280" t="n"/>
    </row>
    <row r="87" ht="15" customHeight="1" s="23">
      <c r="A87" s="280" t="n"/>
    </row>
    <row r="88" ht="15" customHeight="1" s="23">
      <c r="A88" s="280" t="n"/>
    </row>
    <row r="89" ht="15" customHeight="1" s="23">
      <c r="A89" s="280" t="n"/>
    </row>
    <row r="90" ht="15" customHeight="1" s="23">
      <c r="A90" s="280" t="n"/>
    </row>
    <row r="91" ht="15" customHeight="1" s="23">
      <c r="A91" s="280" t="n"/>
    </row>
    <row r="92" ht="15" customHeight="1" s="23">
      <c r="A92" s="280" t="n"/>
    </row>
    <row r="93" ht="15" customHeight="1" s="23">
      <c r="A93" s="280" t="n"/>
    </row>
    <row r="94" ht="15" customHeight="1" s="23">
      <c r="A94" s="280" t="n"/>
    </row>
    <row r="95" ht="15" customHeight="1" s="23">
      <c r="A95" s="280" t="n"/>
    </row>
    <row r="96" ht="15" customHeight="1" s="23">
      <c r="A96" s="280" t="n"/>
    </row>
    <row r="97" ht="15" customHeight="1" s="23">
      <c r="A97" s="280" t="n"/>
    </row>
    <row r="98" ht="15" customHeight="1" s="23">
      <c r="A98" s="280" t="n"/>
    </row>
    <row r="99" ht="15" customHeight="1" s="23">
      <c r="A99" s="280" t="n"/>
    </row>
    <row r="100" ht="15" customHeight="1" s="23">
      <c r="A100" s="280" t="n"/>
    </row>
    <row r="101" ht="15" customHeight="1" s="23">
      <c r="A101" s="280" t="n"/>
    </row>
    <row r="102" ht="15" customHeight="1" s="23">
      <c r="A102" s="280" t="n"/>
    </row>
    <row r="103" ht="15" customHeight="1" s="23">
      <c r="A103" s="280" t="n"/>
    </row>
  </sheetData>
  <mergeCells count="1">
    <mergeCell ref="K33:K40"/>
  </mergeCells>
  <pageMargins left="0.7" right="0.7" top="0.75" bottom="0.75" header="0.511811023622047" footer="0.511811023622047"/>
  <pageSetup orientation="portrait" paperSize="9" horizontalDpi="300" verticalDpi="300"/>
  <legacyDrawing xmlns:r="http://schemas.openxmlformats.org/officeDocument/2006/relationships" r:id="anysvml"/>
</worksheet>
</file>

<file path=xl/worksheets/sheet10.xml><?xml version="1.0" encoding="utf-8"?>
<worksheet xmlns="http://schemas.openxmlformats.org/spreadsheetml/2006/main">
  <sheetPr>
    <outlinePr summaryBelow="1" summaryRight="1"/>
    <pageSetUpPr/>
  </sheetPr>
  <dimension ref="A1:O91"/>
  <sheetViews>
    <sheetView zoomScaleNormal="100" workbookViewId="0">
      <pane xSplit="1" ySplit="3" topLeftCell="B6" activePane="bottomRight" state="frozen"/>
      <selection pane="topRight" activeCell="B1" sqref="B1"/>
      <selection pane="bottomLeft" activeCell="A7" sqref="A7"/>
      <selection pane="bottomRight" activeCell="G14" sqref="G14"/>
    </sheetView>
  </sheetViews>
  <sheetFormatPr baseColWidth="8" defaultColWidth="9.109375" defaultRowHeight="14.4"/>
  <cols>
    <col width="8.88671875" customWidth="1" style="51" min="1" max="1"/>
    <col width="10.88671875" customWidth="1" style="280" min="2" max="2"/>
    <col width="65.5546875" customWidth="1" style="280" min="3" max="3"/>
    <col width="10.88671875" customWidth="1" style="280" min="4" max="6"/>
    <col width="10.44140625" customWidth="1" style="280" min="7" max="9"/>
    <col width="9.109375" customWidth="1" style="280" min="10" max="12"/>
    <col width="18.6640625" customWidth="1" style="280" min="13" max="13"/>
    <col width="7.109375" customWidth="1" style="280" min="14" max="14"/>
    <col width="9.109375" customWidth="1" style="280" min="15" max="257"/>
  </cols>
  <sheetData>
    <row r="1" ht="15" customFormat="1" customHeight="1" s="263">
      <c r="A1" s="128" t="n"/>
      <c r="B1" s="22">
        <f>'Structura Investitie'!D11</f>
        <v/>
      </c>
      <c r="C1" s="22">
        <f>'Structura Investitie'!C11</f>
        <v/>
      </c>
      <c r="E1" s="80" t="inlineStr">
        <is>
          <t>terasa</t>
        </is>
      </c>
      <c r="G1" s="80" t="n">
        <v>1</v>
      </c>
      <c r="H1" s="80" t="n"/>
      <c r="I1" s="80" t="n"/>
      <c r="J1" s="80" t="n"/>
      <c r="M1" s="81" t="inlineStr">
        <is>
          <t>1 - exista terasa</t>
        </is>
      </c>
    </row>
    <row r="2" ht="15.75" customFormat="1" customHeight="1" s="263">
      <c r="A2" s="128" t="n"/>
      <c r="D2" s="22">
        <f>'Date cladire'!A83</f>
        <v/>
      </c>
      <c r="E2" s="22">
        <f>'Date cladire'!B83</f>
        <v/>
      </c>
      <c r="G2" s="81" t="n"/>
      <c r="M2" s="81" t="inlineStr">
        <is>
          <t>0- nu exista terasa</t>
        </is>
      </c>
    </row>
    <row r="3" ht="39" customFormat="1" customHeight="1" s="263">
      <c r="A3" s="48">
        <f>"NrCrt"</f>
        <v/>
      </c>
      <c r="B3" s="48">
        <f>"Simbol"</f>
        <v/>
      </c>
      <c r="C3" s="48" t="inlineStr">
        <is>
          <t>Denumire</t>
        </is>
      </c>
      <c r="D3" s="48">
        <f>"UM"</f>
        <v/>
      </c>
      <c r="E3" s="48">
        <f>"Consum"</f>
        <v/>
      </c>
      <c r="F3" s="48">
        <f>"Cantitate"</f>
        <v/>
      </c>
      <c r="G3" s="49">
        <f>'Date cladire'!B2</f>
        <v/>
      </c>
      <c r="H3" s="277">
        <f>'Date cladire'!D2</f>
        <v/>
      </c>
      <c r="M3" s="49" t="n"/>
      <c r="N3" s="49" t="n"/>
      <c r="O3" s="49" t="n"/>
    </row>
    <row r="4" ht="41.25" customFormat="1" customHeight="1" s="263">
      <c r="A4" s="12">
        <f>"1"</f>
        <v/>
      </c>
      <c r="B4" s="13">
        <f>"+RPCA01C"</f>
        <v/>
      </c>
      <c r="C4" s="13" t="inlineStr">
        <is>
          <t>Pregatirea suprafetelor de pe planseul peste ultimul nivel, din pod si de pe terasa , in vederea termoizolarii, curatare si evacuare deseuri</t>
        </is>
      </c>
      <c r="D4" s="13">
        <f>"mp"</f>
        <v/>
      </c>
      <c r="E4" s="210" t="inlineStr">
        <is>
          <t>1.0</t>
        </is>
      </c>
      <c r="F4" s="211">
        <f>E4</f>
        <v/>
      </c>
      <c r="G4" s="82">
        <f>$E$2*'Date cladire'!B20*G1</f>
        <v/>
      </c>
      <c r="H4" s="277">
        <f>$E$2*'Date cladire'!D20*G1</f>
        <v/>
      </c>
      <c r="I4" s="277" t="n"/>
      <c r="J4" s="277" t="n"/>
      <c r="K4" s="277" t="n"/>
      <c r="L4" s="277" t="n"/>
      <c r="M4" s="264" t="inlineStr">
        <is>
          <t>Se studiaza solutia din docs si se lasa cantitate doar la articolele necesare blocului in lucru, restul articolul se pun cu 0,</t>
        </is>
      </c>
      <c r="N4" s="277" t="n"/>
      <c r="O4" s="277" t="n"/>
    </row>
    <row r="5" ht="40.5" customFormat="1" customHeight="1" s="263">
      <c r="A5" s="12">
        <f>"2"</f>
        <v/>
      </c>
      <c r="B5" s="13">
        <f>"IZF01B1 [1]"</f>
        <v/>
      </c>
      <c r="C5" s="13" t="inlineStr">
        <is>
          <t>Asimilat - Amorsarea suprafetelor orizontale cu amorsa bituminoasa, in vederea aplicarii stratului hidroizolant din membrana bituminoasa la terase</t>
        </is>
      </c>
      <c r="D5" s="13">
        <f>"mp"</f>
        <v/>
      </c>
      <c r="E5" s="210" t="inlineStr">
        <is>
          <t>1.0</t>
        </is>
      </c>
      <c r="F5" s="211">
        <f>E5</f>
        <v/>
      </c>
      <c r="G5" s="82">
        <f>(G4+G12+G13)*G1</f>
        <v/>
      </c>
      <c r="H5" s="277" t="n"/>
      <c r="I5" s="277" t="n"/>
      <c r="J5" s="277" t="n"/>
      <c r="K5" s="277" t="n"/>
      <c r="L5" s="277" t="n"/>
      <c r="N5" s="277" t="n"/>
      <c r="O5" s="277" t="n"/>
    </row>
    <row r="6" ht="27" customFormat="1" customHeight="1" s="263">
      <c r="A6" s="12">
        <f>"3"</f>
        <v/>
      </c>
      <c r="B6" s="13">
        <f>"IzHc03B [4]"</f>
        <v/>
      </c>
      <c r="C6" s="13" t="inlineStr">
        <is>
          <t>Executarea stratului de bariera de vapori cu membrana bituminoasa termoadeziva</t>
        </is>
      </c>
      <c r="D6" s="13">
        <f>"mp"</f>
        <v/>
      </c>
      <c r="E6" s="210" t="inlineStr">
        <is>
          <t>1.0</t>
        </is>
      </c>
      <c r="F6" s="211">
        <f>E6</f>
        <v/>
      </c>
      <c r="G6" s="82">
        <f>G5</f>
        <v/>
      </c>
      <c r="H6" s="277" t="n"/>
      <c r="I6" s="277" t="n"/>
      <c r="J6" s="277" t="n"/>
      <c r="K6" s="277" t="n"/>
      <c r="L6" s="277" t="n"/>
      <c r="N6" s="277" t="n"/>
      <c r="O6" s="277" t="n"/>
    </row>
    <row r="7" ht="27" customFormat="1" customHeight="1" s="263">
      <c r="A7" s="12">
        <f>"4"</f>
        <v/>
      </c>
      <c r="B7" s="13" t="inlineStr">
        <is>
          <t>IZF10C1 [22]</t>
        </is>
      </c>
      <c r="C7" s="13" t="inlineStr">
        <is>
          <t>Termoizolatie realizata cu polistiren expandat ignifugat EPS 120 de 20 cm la terase</t>
        </is>
      </c>
      <c r="D7" s="13">
        <f>"mp"</f>
        <v/>
      </c>
      <c r="E7" s="210" t="inlineStr">
        <is>
          <t>1.0</t>
        </is>
      </c>
      <c r="F7" s="211">
        <f>E7</f>
        <v/>
      </c>
      <c r="G7" s="82">
        <f>G4</f>
        <v/>
      </c>
      <c r="H7" s="277" t="n"/>
      <c r="I7" s="277" t="n"/>
      <c r="J7" s="277" t="n"/>
      <c r="K7" s="277" t="n"/>
      <c r="L7" s="277" t="n"/>
      <c r="N7" s="277" t="n"/>
      <c r="O7" s="277" t="n"/>
    </row>
    <row r="8" ht="27" customFormat="1" customHeight="1" s="263">
      <c r="A8" s="12" t="n">
        <v>5</v>
      </c>
      <c r="B8" s="13">
        <f>"+IZA02A10 [33]"</f>
        <v/>
      </c>
      <c r="C8" s="13" t="inlineStr">
        <is>
          <t>Strat hidroizolant pentru terase realizat cu membrana din cauciuc sintetic tip EPDM aplicata prin lipire</t>
        </is>
      </c>
      <c r="D8" s="13">
        <f>"mp"</f>
        <v/>
      </c>
      <c r="E8" s="210" t="inlineStr">
        <is>
          <t>1.0</t>
        </is>
      </c>
      <c r="F8" s="211">
        <f>E8</f>
        <v/>
      </c>
      <c r="G8" s="83">
        <f>G5</f>
        <v/>
      </c>
      <c r="H8" s="84" t="n"/>
      <c r="I8" s="84" t="n"/>
      <c r="J8" s="84" t="n"/>
      <c r="K8" s="84" t="n"/>
      <c r="L8" s="84" t="n"/>
      <c r="N8" s="277" t="n"/>
      <c r="O8" s="277" t="n"/>
    </row>
    <row r="9" ht="27" customFormat="1" customHeight="1" s="263">
      <c r="A9" s="12" t="n">
        <v>6</v>
      </c>
      <c r="B9" s="13" t="inlineStr">
        <is>
          <t>IZF03A1 [6]</t>
        </is>
      </c>
      <c r="C9" s="13" t="inlineStr">
        <is>
          <t>Montare folie textila pentru separare straturi tip geotextil</t>
        </is>
      </c>
      <c r="D9" s="13" t="inlineStr">
        <is>
          <t>mp</t>
        </is>
      </c>
      <c r="E9" s="210" t="inlineStr">
        <is>
          <t>1.0</t>
        </is>
      </c>
      <c r="F9" s="211">
        <f>E9</f>
        <v/>
      </c>
      <c r="G9" s="83">
        <f>G4</f>
        <v/>
      </c>
      <c r="H9" s="84" t="n"/>
      <c r="I9" s="84" t="n"/>
      <c r="J9" s="84" t="n"/>
      <c r="K9" s="84" t="n"/>
      <c r="L9" s="84" t="n"/>
      <c r="N9" s="277" t="n"/>
      <c r="O9" s="277" t="n"/>
    </row>
    <row r="10" ht="15" customFormat="1" customHeight="1" s="263">
      <c r="A10" s="12" t="n">
        <v>7</v>
      </c>
      <c r="B10" s="13" t="n">
        <v>2600517</v>
      </c>
      <c r="C10" s="13" t="inlineStr">
        <is>
          <t>Folie separare straturi tip geotextil 300g/mp</t>
        </is>
      </c>
      <c r="D10" s="13" t="inlineStr">
        <is>
          <t>mp</t>
        </is>
      </c>
      <c r="E10" s="210" t="inlineStr">
        <is>
          <t>1.0</t>
        </is>
      </c>
      <c r="F10" s="211">
        <f>E10</f>
        <v/>
      </c>
      <c r="G10" s="83">
        <f>G9</f>
        <v/>
      </c>
      <c r="H10" s="84" t="n"/>
      <c r="I10" s="84" t="n"/>
      <c r="J10" s="84" t="n"/>
      <c r="K10" s="84" t="n"/>
      <c r="L10" s="84" t="n"/>
      <c r="N10" s="277" t="n"/>
      <c r="O10" s="277" t="n"/>
    </row>
    <row r="11" ht="40.5" customFormat="1" customHeight="1" s="263">
      <c r="A11" s="12" t="n">
        <v>8</v>
      </c>
      <c r="B11" s="13" t="inlineStr">
        <is>
          <t>TsD16XB [8]</t>
        </is>
      </c>
      <c r="C11" s="13" t="inlineStr">
        <is>
          <t>Strat de lest din pietris cu granulatie de 16-32 mm aplicat peste membrana hidroizolanta la terasa grosime medie 5cm</t>
        </is>
      </c>
      <c r="D11" s="13" t="inlineStr">
        <is>
          <t>mp</t>
        </is>
      </c>
      <c r="E11" s="210" t="inlineStr">
        <is>
          <t>1.0</t>
        </is>
      </c>
      <c r="F11" s="211">
        <f>E11</f>
        <v/>
      </c>
      <c r="G11" s="83">
        <f>G9</f>
        <v/>
      </c>
      <c r="H11" s="84" t="n"/>
      <c r="I11" s="84" t="n"/>
      <c r="J11" s="84" t="n"/>
      <c r="K11" s="84" t="n"/>
      <c r="L11" s="84" t="n"/>
      <c r="N11" s="277" t="n"/>
      <c r="O11" s="277" t="n"/>
    </row>
    <row r="12" ht="27" customFormat="1" customHeight="1" s="263">
      <c r="A12" s="12" t="n">
        <v>9</v>
      </c>
      <c r="B12" s="13" t="inlineStr">
        <is>
          <t>IZF10C1 [23]</t>
        </is>
      </c>
      <c r="C12" s="13" t="inlineStr">
        <is>
          <t>Termoizolatie realizata cu polistiren expandat ignifugat EPS 120 de 5 cm la aticul de la terase</t>
        </is>
      </c>
      <c r="D12" s="13">
        <f>"mp"</f>
        <v/>
      </c>
      <c r="E12" s="210" t="inlineStr">
        <is>
          <t>1.0</t>
        </is>
      </c>
      <c r="F12" s="211">
        <f>E12</f>
        <v/>
      </c>
      <c r="G12" s="82">
        <f>$E$2*(0.3+'Date cladire'!B13)*'Date cladire'!B7*G1</f>
        <v/>
      </c>
      <c r="H12" s="277">
        <f>$E$2*(0.3+'Date cladire'!D13)*'Date cladire'!D7*G1</f>
        <v/>
      </c>
      <c r="I12" s="277" t="n"/>
      <c r="J12" s="277" t="n"/>
      <c r="K12" s="277" t="n"/>
      <c r="L12" s="277" t="n"/>
      <c r="N12" s="277" t="n"/>
      <c r="O12" s="277" t="n"/>
    </row>
    <row r="13" ht="40.5" customFormat="1" customHeight="1" s="263">
      <c r="A13" s="12" t="n">
        <v>10</v>
      </c>
      <c r="B13" s="13" t="inlineStr">
        <is>
          <t>IZF10C1 [24]</t>
        </is>
      </c>
      <c r="C13" s="13" t="inlineStr">
        <is>
          <t>Termoizolatie realizata cu polistiren expandat ignifugat EPS 120 de 5 cm la gurile de aerisire de la terase</t>
        </is>
      </c>
      <c r="D13" s="13">
        <f>"mp"</f>
        <v/>
      </c>
      <c r="E13" s="210" t="inlineStr">
        <is>
          <t>1.0</t>
        </is>
      </c>
      <c r="F13" s="211">
        <f>E13</f>
        <v/>
      </c>
      <c r="G13" s="82">
        <f>$E$2*0.3*4*0.5*'Date cladire'!B30*G1</f>
        <v/>
      </c>
      <c r="H13" s="277">
        <f>$E$2*0.3*4*0.5*'Date cladire'!D30*G1</f>
        <v/>
      </c>
      <c r="I13" s="277" t="n"/>
      <c r="J13" s="277" t="n"/>
      <c r="K13" s="277" t="n"/>
      <c r="L13" s="277" t="n"/>
      <c r="N13" s="277" t="n"/>
      <c r="O13" s="277" t="n"/>
    </row>
    <row r="14" ht="40.5" customFormat="1" customHeight="1" s="263">
      <c r="A14" s="12" t="n">
        <v>11</v>
      </c>
      <c r="B14" s="13">
        <f>"CP37J1 [10]"</f>
        <v/>
      </c>
      <c r="C14" s="13" t="inlineStr">
        <is>
          <t xml:space="preserve">Etansarea rosturilor orizontale la atic terasa sau pod cu placi termoizolante de 5 cm grosime cu coeficient de transfer termic de maxim 0,038 W/mK si profil de rost; </t>
        </is>
      </c>
      <c r="D14" s="13">
        <f>"m"</f>
        <v/>
      </c>
      <c r="E14" s="210" t="inlineStr">
        <is>
          <t>1.0</t>
        </is>
      </c>
      <c r="F14" s="211">
        <f>E14</f>
        <v/>
      </c>
      <c r="G14" s="85">
        <f>$E$2*'Date cladire'!B89</f>
        <v/>
      </c>
      <c r="H14" s="86" t="n"/>
      <c r="I14" s="86" t="n"/>
      <c r="J14" s="86" t="n"/>
      <c r="K14" s="86" t="n"/>
      <c r="L14" s="86" t="n"/>
      <c r="N14" s="277" t="n"/>
      <c r="O14" s="277" t="n"/>
    </row>
    <row r="15" ht="27" customFormat="1" customHeight="1" s="263">
      <c r="A15" s="12" t="n">
        <v>12</v>
      </c>
      <c r="B15" s="13">
        <f>"RPCE31A1"</f>
        <v/>
      </c>
      <c r="C15" s="13" t="inlineStr">
        <is>
          <t>Inundarea terasei in vederea...receptionarii terasei inclusiv supravegherea</t>
        </is>
      </c>
      <c r="D15" s="13">
        <f>"mp"</f>
        <v/>
      </c>
      <c r="E15" s="210" t="inlineStr">
        <is>
          <t>1.0</t>
        </is>
      </c>
      <c r="F15" s="211">
        <f>E15</f>
        <v/>
      </c>
      <c r="G15" s="82">
        <f>G4</f>
        <v/>
      </c>
      <c r="H15" s="277" t="n"/>
      <c r="I15" s="277" t="n"/>
      <c r="J15" s="277" t="n"/>
      <c r="K15" s="277" t="n"/>
      <c r="L15" s="277" t="n"/>
      <c r="N15" s="277" t="n"/>
      <c r="O15" s="277" t="n"/>
    </row>
    <row r="16" ht="54" customFormat="1" customHeight="1" s="263">
      <c r="A16" s="12" t="n">
        <v>13</v>
      </c>
      <c r="B16" s="13">
        <f>"VB35A1 [1]"</f>
        <v/>
      </c>
      <c r="C16" s="13" t="inlineStr">
        <is>
          <t xml:space="preserve">Deflector gata confectionat cu perim. bazei 400-800 mm montat la sistem termohidroizolant realizat cu membrana EPDM 
 - 2500244 Deflector cu diametrul FI 110mm </t>
        </is>
      </c>
      <c r="D16" s="13">
        <f>"buc"</f>
        <v/>
      </c>
      <c r="E16" s="210" t="inlineStr">
        <is>
          <t>1.0</t>
        </is>
      </c>
      <c r="F16" s="211">
        <f>E16</f>
        <v/>
      </c>
      <c r="G16" s="82">
        <f>ROUND(G15/40,0)*G1</f>
        <v/>
      </c>
      <c r="H16" s="277" t="n"/>
      <c r="I16" s="277" t="n"/>
      <c r="J16" s="277" t="n"/>
      <c r="K16" s="277" t="n"/>
      <c r="L16" s="277" t="n"/>
      <c r="N16" s="277" t="n"/>
      <c r="O16" s="277" t="n"/>
    </row>
    <row r="17" ht="27" customFormat="1" customHeight="1" s="263">
      <c r="A17" s="12" t="n">
        <v>14</v>
      </c>
      <c r="B17" s="13">
        <f>"RPCXI05A [1]"</f>
        <v/>
      </c>
      <c r="C17" s="13" t="inlineStr">
        <is>
          <t xml:space="preserve">Demontare...jghiaburi burlane glafuri sorturi pazii etc. la aticul de la terasa   </t>
        </is>
      </c>
      <c r="D17" s="13">
        <f>"m"</f>
        <v/>
      </c>
      <c r="E17" s="210" t="inlineStr">
        <is>
          <t>1.0</t>
        </is>
      </c>
      <c r="F17" s="211">
        <f>E17</f>
        <v/>
      </c>
      <c r="G17" s="82">
        <f>$E$2*'Date cladire'!B7*G1</f>
        <v/>
      </c>
      <c r="H17" s="277">
        <f>$E$2*'Date cladire'!D7*G1</f>
        <v/>
      </c>
      <c r="I17" s="277" t="n"/>
      <c r="J17" s="277" t="n"/>
      <c r="K17" s="277" t="n"/>
      <c r="L17" s="277" t="n"/>
      <c r="N17" s="277" t="n"/>
      <c r="O17" s="277" t="n"/>
    </row>
    <row r="18" ht="40.5" customFormat="1" customHeight="1" s="263">
      <c r="A18" s="12" t="n">
        <v>15</v>
      </c>
      <c r="B18" s="13">
        <f>"CE15F1 [4]"</f>
        <v/>
      </c>
      <c r="C18" s="13" t="inlineStr">
        <is>
          <t>Glaf din tabla zincata de 0,5mm grosime cu latimea intre 50-70 cm confectionat si montat pentru protectia aticului de la terase la partea superioara</t>
        </is>
      </c>
      <c r="D18" s="13">
        <f>"m"</f>
        <v/>
      </c>
      <c r="E18" s="210" t="inlineStr">
        <is>
          <t>1.0</t>
        </is>
      </c>
      <c r="F18" s="211">
        <f>E18</f>
        <v/>
      </c>
      <c r="G18" s="82">
        <f>G17</f>
        <v/>
      </c>
      <c r="H18" s="277" t="n"/>
      <c r="I18" s="277" t="n"/>
      <c r="J18" s="277" t="n"/>
      <c r="K18" s="277" t="n"/>
      <c r="L18" s="277" t="n"/>
      <c r="N18" s="277" t="n"/>
      <c r="O18" s="277" t="n"/>
    </row>
    <row r="19" ht="35.4" customFormat="1" customHeight="1" s="263">
      <c r="A19" s="12" t="n">
        <v>18</v>
      </c>
      <c r="B19" s="13" t="inlineStr">
        <is>
          <t>CG01D1 [16]</t>
        </is>
      </c>
      <c r="C19" s="87" t="inlineStr">
        <is>
          <t>Strat de sapa turnata la terase grosime medie 6 cm supratata fin driscuita armata cu fibre din polipropilena</t>
        </is>
      </c>
      <c r="D19" s="87">
        <f>"mp"</f>
        <v/>
      </c>
      <c r="E19" s="210" t="inlineStr">
        <is>
          <t>1.0</t>
        </is>
      </c>
      <c r="F19" s="211">
        <f>E19</f>
        <v/>
      </c>
      <c r="G19" s="83">
        <f>G4</f>
        <v/>
      </c>
      <c r="H19" s="84" t="n"/>
      <c r="I19" s="84" t="n"/>
      <c r="J19" s="84" t="n"/>
      <c r="K19" s="84" t="n"/>
      <c r="L19" s="84" t="n"/>
      <c r="N19" s="277" t="n"/>
      <c r="O19" s="277" t="n"/>
    </row>
    <row r="20" ht="15" customFormat="1" customHeight="1" s="263">
      <c r="A20" s="12" t="inlineStr">
        <is>
          <t>18.L</t>
        </is>
      </c>
      <c r="B20" s="87" t="n">
        <v>2101200</v>
      </c>
      <c r="C20" s="13" t="inlineStr">
        <is>
          <t>Mortar tencuiala M 100 (var pasta) s 1030</t>
        </is>
      </c>
      <c r="D20" s="13" t="inlineStr">
        <is>
          <t>mc</t>
        </is>
      </c>
      <c r="E20" s="210" t="n"/>
      <c r="F20" s="211" t="n"/>
      <c r="G20" s="83">
        <f>G19*0.06</f>
        <v/>
      </c>
      <c r="H20" s="84" t="n"/>
      <c r="I20" s="84" t="n"/>
      <c r="J20" s="84" t="n"/>
      <c r="K20" s="84" t="n"/>
      <c r="L20" s="84" t="n"/>
      <c r="N20" s="277" t="n"/>
      <c r="O20" s="277" t="n"/>
    </row>
    <row r="21" ht="27" customFormat="1" customHeight="1" s="263">
      <c r="A21" s="12" t="n">
        <v>19</v>
      </c>
      <c r="B21" s="87">
        <f>"+IZH03A1"</f>
        <v/>
      </c>
      <c r="C21" s="13" t="inlineStr">
        <is>
          <t>Montare folie polietilena pentru acoperirea suprafetelor pe care se toarna beton sau sapa</t>
        </is>
      </c>
      <c r="D21" s="87">
        <f>"mp"</f>
        <v/>
      </c>
      <c r="E21" s="210" t="inlineStr">
        <is>
          <t>1.0</t>
        </is>
      </c>
      <c r="F21" s="211">
        <f>E21</f>
        <v/>
      </c>
      <c r="G21" s="83">
        <f>G19</f>
        <v/>
      </c>
      <c r="H21" s="84" t="n"/>
      <c r="I21" s="84" t="n"/>
      <c r="J21" s="84" t="n"/>
      <c r="K21" s="84" t="n"/>
      <c r="L21" s="84" t="n"/>
      <c r="N21" s="277" t="n"/>
      <c r="O21" s="277" t="n"/>
    </row>
    <row r="22" ht="27" customFormat="1" customHeight="1" s="263">
      <c r="A22" s="12" t="n">
        <v>20</v>
      </c>
      <c r="B22" s="87">
        <f>"CG07A1 [1]"</f>
        <v/>
      </c>
      <c r="C22" s="13" t="inlineStr">
        <is>
          <t>Scafe din mortar de ciment turnate pe conturul terasei 10x10cm inainte de hidroizolarea acesteia</t>
        </is>
      </c>
      <c r="D22" s="87">
        <f>"m"</f>
        <v/>
      </c>
      <c r="E22" s="210" t="inlineStr">
        <is>
          <t>1.0</t>
        </is>
      </c>
      <c r="F22" s="211">
        <f>E22</f>
        <v/>
      </c>
      <c r="G22" s="82">
        <f>$E$2*'Date cladire'!B7*G1</f>
        <v/>
      </c>
      <c r="H22" s="277">
        <f>$E$2*'Date cladire'!D7*G1</f>
        <v/>
      </c>
      <c r="I22" s="277" t="n"/>
      <c r="J22" s="277" t="n"/>
      <c r="K22" s="277" t="n"/>
      <c r="L22" s="277" t="n"/>
      <c r="N22" s="277" t="n"/>
      <c r="O22" s="277" t="n"/>
    </row>
    <row r="23" ht="27" customFormat="1" customHeight="1" s="263">
      <c r="A23" s="12" t="n">
        <v>21</v>
      </c>
      <c r="B23" s="87">
        <f>"TRA06A10"</f>
        <v/>
      </c>
      <c r="C23" s="13" t="inlineStr">
        <is>
          <t xml:space="preserve">Transportul rutier al betonului-mortarului cu autobetoniera de...5,5mc dist.  =10km  </t>
        </is>
      </c>
      <c r="D23" s="87">
        <f>"tona"</f>
        <v/>
      </c>
      <c r="E23" s="210" t="inlineStr">
        <is>
          <t>1.0</t>
        </is>
      </c>
      <c r="F23" s="211">
        <f>E23</f>
        <v/>
      </c>
      <c r="G23" s="83">
        <f>G19*0.06*2.5</f>
        <v/>
      </c>
      <c r="H23" s="84" t="n"/>
      <c r="I23" s="84" t="n"/>
      <c r="J23" s="84" t="n"/>
      <c r="K23" s="84" t="n"/>
      <c r="L23" s="84" t="n"/>
      <c r="N23" s="277" t="n"/>
      <c r="O23" s="277" t="n"/>
    </row>
    <row r="24" ht="15" customFormat="1" customHeight="1" s="263">
      <c r="A24" s="12" t="n">
        <v>22</v>
      </c>
      <c r="B24" s="87">
        <f>"AUT3343"</f>
        <v/>
      </c>
      <c r="C24" s="13" t="inlineStr">
        <is>
          <t>Pompa pneumatica de beton PB250 4-6mc/ora</t>
        </is>
      </c>
      <c r="D24" s="87">
        <f>"ora"</f>
        <v/>
      </c>
      <c r="E24" s="210" t="inlineStr">
        <is>
          <t>1.0</t>
        </is>
      </c>
      <c r="F24" s="211">
        <f>E24</f>
        <v/>
      </c>
      <c r="G24" s="83">
        <f>ROUNDUP(G20/4,0)*G1</f>
        <v/>
      </c>
      <c r="H24" s="83" t="n"/>
      <c r="I24" s="83" t="n"/>
      <c r="J24" s="83" t="n"/>
      <c r="K24" s="84" t="n"/>
      <c r="L24" s="84" t="n"/>
      <c r="N24" s="277" t="n"/>
      <c r="O24" s="277" t="n"/>
    </row>
    <row r="25" ht="27" customFormat="1" customHeight="1" s="263">
      <c r="A25" s="12" t="n">
        <v>23</v>
      </c>
      <c r="B25" s="87">
        <f>"TRA02A10"</f>
        <v/>
      </c>
      <c r="C25" s="13" t="inlineStr">
        <is>
          <t xml:space="preserve">Transportul rutier al materialelor,semifabricatelor cu autocamionul pe dist.= ...10 km.  </t>
        </is>
      </c>
      <c r="D25" s="87">
        <f>"tona"</f>
        <v/>
      </c>
      <c r="E25" s="210" t="inlineStr">
        <is>
          <t>1.0</t>
        </is>
      </c>
      <c r="F25" s="211">
        <f>E25</f>
        <v/>
      </c>
      <c r="G25" s="82">
        <f>(G7*8+G8*1.25+G9*0.25+G12*15+G13*15)/1000+(G17*1.5+G18*1.5+G31*14)/1000</f>
        <v/>
      </c>
      <c r="H25" s="277" t="n"/>
      <c r="I25" s="277" t="n"/>
      <c r="J25" s="277" t="n"/>
      <c r="K25" s="277" t="n"/>
      <c r="L25" s="277" t="n"/>
      <c r="N25" s="277" t="n"/>
      <c r="O25" s="277" t="n"/>
    </row>
    <row r="26" ht="40.5" customFormat="1" customHeight="1" s="263">
      <c r="A26" s="12" t="n">
        <v>24</v>
      </c>
      <c r="B26" s="87">
        <f>"TRI1AC13E1"</f>
        <v/>
      </c>
      <c r="C26" s="13" t="inlineStr">
        <is>
          <t>Descarcare...materiale gr.c-ambalate,10-50 kg deplas.prin purtare pina la 10m,asez..auto-rampa,teren ctg</t>
        </is>
      </c>
      <c r="D26" s="87">
        <f>"tona"</f>
        <v/>
      </c>
      <c r="E26" s="210" t="inlineStr">
        <is>
          <t>1.0</t>
        </is>
      </c>
      <c r="F26" s="211">
        <f>E26</f>
        <v/>
      </c>
      <c r="G26" s="82">
        <f>G25</f>
        <v/>
      </c>
      <c r="H26" s="277" t="n"/>
      <c r="I26" s="277" t="n"/>
      <c r="J26" s="277" t="n"/>
      <c r="K26" s="277" t="n"/>
      <c r="L26" s="277" t="n"/>
      <c r="M26" s="277" t="n"/>
      <c r="N26" s="277" t="n"/>
      <c r="O26" s="277" t="n"/>
    </row>
    <row r="27" ht="27" customFormat="1" customHeight="1" s="263">
      <c r="A27" s="12" t="n">
        <v>25</v>
      </c>
      <c r="B27" s="87">
        <f>"TRB05A22"</f>
        <v/>
      </c>
      <c r="C27" s="13" t="inlineStr">
        <is>
          <t xml:space="preserve">Transportul materialelor prin purtat direct.materiale...incomode sub 25 kg distanta 20m  </t>
        </is>
      </c>
      <c r="D27" s="87">
        <f>"tona"</f>
        <v/>
      </c>
      <c r="E27" s="210" t="inlineStr">
        <is>
          <t>1.0</t>
        </is>
      </c>
      <c r="F27" s="211">
        <f>E27</f>
        <v/>
      </c>
      <c r="G27" s="82">
        <f>G25</f>
        <v/>
      </c>
      <c r="H27" s="277" t="n"/>
      <c r="I27" s="277" t="n"/>
      <c r="J27" s="277" t="n"/>
      <c r="K27" s="277" t="n"/>
      <c r="L27" s="277" t="n"/>
      <c r="M27" s="277" t="n"/>
      <c r="N27" s="277" t="n"/>
      <c r="O27" s="277" t="n"/>
    </row>
    <row r="28" ht="27" customFormat="1" customHeight="1" s="263">
      <c r="A28" s="12" t="n">
        <v>26</v>
      </c>
      <c r="B28" s="13" t="inlineStr">
        <is>
          <t>TRA01A30</t>
        </is>
      </c>
      <c r="C28" s="13" t="inlineStr">
        <is>
          <t xml:space="preserve">Transportul rutier al...materialelor,semifabricatelor cu autobasculanta pe dist.=  30 km.  </t>
        </is>
      </c>
      <c r="D28" s="13" t="inlineStr">
        <is>
          <t>tona</t>
        </is>
      </c>
      <c r="E28" s="210" t="n"/>
      <c r="F28" s="211" t="n"/>
      <c r="G28" s="82">
        <f>G11*0.05*1600/1000</f>
        <v/>
      </c>
      <c r="H28" s="277" t="n"/>
      <c r="I28" s="277" t="n"/>
      <c r="J28" s="277" t="n"/>
      <c r="K28" s="277" t="n"/>
      <c r="L28" s="277" t="n"/>
      <c r="M28" s="277" t="n"/>
      <c r="N28" s="277" t="n"/>
      <c r="O28" s="277" t="n"/>
    </row>
    <row r="29" ht="27" customFormat="1" customHeight="1" s="263">
      <c r="A29" s="12" t="n">
        <v>27</v>
      </c>
      <c r="B29" s="13" t="inlineStr">
        <is>
          <t>TRB22H2A3</t>
        </is>
      </c>
      <c r="C29" s="13" t="inlineStr">
        <is>
          <t xml:space="preserve">Transportat materiale cu macara turn brat inclinabil pina la 40 tfm...sarcina &lt;0,5t h=12-18m pozitie fix  </t>
        </is>
      </c>
      <c r="D29" s="13" t="inlineStr">
        <is>
          <t>tona</t>
        </is>
      </c>
      <c r="E29" s="210" t="n"/>
      <c r="F29" s="211" t="n"/>
      <c r="G29" s="82">
        <f>G28</f>
        <v/>
      </c>
      <c r="H29" s="277" t="n"/>
      <c r="I29" s="277" t="n"/>
      <c r="J29" s="277" t="n"/>
      <c r="K29" s="277" t="n"/>
      <c r="L29" s="277" t="n"/>
      <c r="M29" s="277" t="n"/>
      <c r="N29" s="277" t="n"/>
      <c r="O29" s="277" t="n"/>
    </row>
    <row r="30" ht="60" customFormat="1" customHeight="1" s="263">
      <c r="A30" s="12" t="n">
        <v>28</v>
      </c>
      <c r="B30" s="13" t="inlineStr">
        <is>
          <t>MDTC4627010</t>
        </is>
      </c>
      <c r="C30" s="13" t="inlineStr">
        <is>
          <t>Transport utilaj...10 km-65121006-macara pe pneuri de 0,40-0,499 mn(40-49,9 tf)</t>
        </is>
      </c>
      <c r="D30" s="13" t="inlineStr">
        <is>
          <t>buc</t>
        </is>
      </c>
      <c r="E30" s="210" t="n"/>
      <c r="F30" s="211" t="n"/>
      <c r="G30" s="82" t="n">
        <v>2</v>
      </c>
      <c r="H30" s="277" t="n"/>
      <c r="I30" s="277" t="n"/>
      <c r="J30" s="277" t="n"/>
      <c r="K30" s="277" t="n"/>
      <c r="L30" s="277" t="n"/>
      <c r="M30" s="277" t="inlineStr">
        <is>
          <t>2 buc pe o scara; se adapteaza nr in functie de nr scarilor</t>
        </is>
      </c>
      <c r="N30" s="277" t="n"/>
      <c r="O30" s="277" t="n"/>
    </row>
    <row r="31" ht="59.4" customFormat="1" customHeight="1" s="263">
      <c r="A31" s="12" t="n">
        <v>90</v>
      </c>
      <c r="B31" s="13" t="inlineStr">
        <is>
          <t>CE17A% [4]</t>
        </is>
      </c>
      <c r="C31" s="88" t="inlineStr">
        <is>
          <t xml:space="preserve">Termoizolatie realizata cu panouri tristrat de 10 cm grosime montate la stresini din beton in consola
-    2500259 Panou tristrat ( tabla + spuma + tabla) termoizolant tip sandwich pentru acoperis grosime 100mm
</t>
        </is>
      </c>
      <c r="D31" s="13" t="inlineStr">
        <is>
          <t>mp</t>
        </is>
      </c>
      <c r="E31" s="210" t="n"/>
      <c r="F31" s="211" t="n"/>
      <c r="G31" s="85" t="n">
        <v>0</v>
      </c>
      <c r="H31" s="86" t="n"/>
      <c r="I31" s="86" t="n"/>
      <c r="J31" s="86" t="n"/>
      <c r="K31" s="86" t="n"/>
      <c r="L31" s="86" t="n"/>
      <c r="M31" s="277" t="inlineStr">
        <is>
          <t>placa iesita in consola izolata cu panou tristrat</t>
        </is>
      </c>
      <c r="N31" s="277" t="n"/>
      <c r="O31" s="277" t="n"/>
    </row>
    <row r="32" ht="15" customFormat="1" customHeight="1" s="263">
      <c r="A32" s="280" t="n"/>
    </row>
    <row r="33" ht="15" customFormat="1" customHeight="1" s="263">
      <c r="A33" s="280" t="n"/>
      <c r="C33" s="285" t="n"/>
    </row>
    <row r="34" ht="15" customHeight="1" s="23">
      <c r="A34" s="280" t="n"/>
      <c r="C34" s="89" t="n"/>
    </row>
    <row r="35" ht="15" customHeight="1" s="23">
      <c r="A35" s="280" t="n"/>
      <c r="C35" s="89" t="n"/>
    </row>
    <row r="36" ht="15" customHeight="1" s="23">
      <c r="A36" s="280" t="n"/>
    </row>
    <row r="37" ht="15" customHeight="1" s="23">
      <c r="A37" s="280" t="n"/>
    </row>
    <row r="38" ht="15" customHeight="1" s="23">
      <c r="A38" s="280" t="n"/>
    </row>
    <row r="39" ht="15" customHeight="1" s="23">
      <c r="A39" s="280" t="n"/>
    </row>
    <row r="40" ht="15" customHeight="1" s="23">
      <c r="A40" s="280" t="n"/>
    </row>
    <row r="41" ht="15" customHeight="1" s="23">
      <c r="A41" s="280" t="n"/>
    </row>
    <row r="42" ht="15" customHeight="1" s="23">
      <c r="A42" s="280" t="n"/>
    </row>
    <row r="43" ht="15" customHeight="1" s="23">
      <c r="A43" s="280" t="n"/>
    </row>
    <row r="44" ht="15" customHeight="1" s="23">
      <c r="A44" s="280" t="n"/>
    </row>
    <row r="45" ht="15" customHeight="1" s="23">
      <c r="A45" s="280" t="n"/>
    </row>
    <row r="46" ht="15" customHeight="1" s="23">
      <c r="A46" s="280" t="n"/>
    </row>
    <row r="47" ht="15" customHeight="1" s="23">
      <c r="A47" s="280" t="n"/>
    </row>
    <row r="48" ht="15" customHeight="1" s="23">
      <c r="A48" s="280" t="n"/>
    </row>
    <row r="49" ht="15" customHeight="1" s="23">
      <c r="A49" s="280" t="n"/>
    </row>
    <row r="50" ht="15" customHeight="1" s="23">
      <c r="A50" s="280" t="n"/>
    </row>
    <row r="51" ht="15" customHeight="1" s="23">
      <c r="A51" s="280" t="n"/>
    </row>
    <row r="52" ht="15" customHeight="1" s="23">
      <c r="A52" s="280" t="n"/>
    </row>
    <row r="53" ht="15" customHeight="1" s="23">
      <c r="A53" s="280" t="n"/>
    </row>
    <row r="54" ht="15" customHeight="1" s="23">
      <c r="A54" s="280" t="n"/>
    </row>
    <row r="55" ht="15" customHeight="1" s="23">
      <c r="A55" s="280" t="n"/>
    </row>
    <row r="56" ht="15" customHeight="1" s="23">
      <c r="A56" s="280" t="n"/>
    </row>
    <row r="57" ht="15" customHeight="1" s="23">
      <c r="A57" s="280" t="n"/>
    </row>
    <row r="58" ht="15" customHeight="1" s="23">
      <c r="A58" s="280" t="n"/>
    </row>
    <row r="59" ht="15" customHeight="1" s="23">
      <c r="A59" s="280" t="n"/>
    </row>
    <row r="60" ht="15" customHeight="1" s="23">
      <c r="A60" s="280" t="n"/>
    </row>
    <row r="61" ht="15" customHeight="1" s="23">
      <c r="A61" s="280" t="n"/>
    </row>
    <row r="62" ht="15" customHeight="1" s="23">
      <c r="A62" s="280" t="n"/>
    </row>
    <row r="63" ht="15" customHeight="1" s="23">
      <c r="A63" s="280" t="n"/>
    </row>
    <row r="64" ht="15" customHeight="1" s="23">
      <c r="A64" s="280" t="n"/>
    </row>
    <row r="65" ht="15" customHeight="1" s="23">
      <c r="A65" s="280" t="n"/>
    </row>
    <row r="66" ht="15" customHeight="1" s="23">
      <c r="A66" s="280" t="n"/>
    </row>
    <row r="67" ht="15" customHeight="1" s="23">
      <c r="A67" s="280" t="n"/>
    </row>
    <row r="68" ht="15" customHeight="1" s="23">
      <c r="A68" s="280" t="n"/>
    </row>
    <row r="69" ht="15" customHeight="1" s="23">
      <c r="A69" s="280" t="n"/>
    </row>
    <row r="70" ht="15" customHeight="1" s="23">
      <c r="A70" s="280" t="n"/>
    </row>
    <row r="71" ht="15" customHeight="1" s="23">
      <c r="A71" s="280" t="n"/>
    </row>
    <row r="72" ht="15" customHeight="1" s="23">
      <c r="A72" s="280" t="n"/>
    </row>
    <row r="73" ht="15" customHeight="1" s="23">
      <c r="A73" s="280" t="n"/>
    </row>
    <row r="74" ht="15" customHeight="1" s="23">
      <c r="A74" s="280" t="n"/>
    </row>
    <row r="75" ht="15" customHeight="1" s="23">
      <c r="A75" s="280" t="n"/>
    </row>
    <row r="76" ht="15" customHeight="1" s="23">
      <c r="A76" s="280" t="n"/>
    </row>
    <row r="77" ht="15" customHeight="1" s="23">
      <c r="A77" s="280" t="n"/>
    </row>
    <row r="78" ht="15" customHeight="1" s="23">
      <c r="A78" s="280" t="n"/>
    </row>
    <row r="79" ht="15" customHeight="1" s="23">
      <c r="A79" s="280" t="n"/>
    </row>
    <row r="80" ht="15" customHeight="1" s="23">
      <c r="A80" s="280" t="n"/>
    </row>
    <row r="81" ht="15" customHeight="1" s="23">
      <c r="A81" s="280" t="n"/>
    </row>
    <row r="82" ht="15" customHeight="1" s="23">
      <c r="A82" s="280" t="n"/>
    </row>
    <row r="83" ht="15" customHeight="1" s="23">
      <c r="A83" s="280" t="n"/>
    </row>
    <row r="84" ht="15" customHeight="1" s="23">
      <c r="A84" s="280" t="n"/>
    </row>
    <row r="85" ht="15" customHeight="1" s="23">
      <c r="A85" s="280" t="n"/>
    </row>
    <row r="86" ht="15" customHeight="1" s="23">
      <c r="A86" s="280" t="n"/>
    </row>
    <row r="87" ht="15" customHeight="1" s="23">
      <c r="A87" s="280" t="n"/>
    </row>
    <row r="88" ht="15" customHeight="1" s="23">
      <c r="A88" s="280" t="n"/>
    </row>
    <row r="89" ht="15" customHeight="1" s="23">
      <c r="A89" s="280" t="n"/>
    </row>
    <row r="90" ht="15" customHeight="1" s="23">
      <c r="A90" s="280" t="n"/>
    </row>
    <row r="91" ht="15" customHeight="1" s="23">
      <c r="A91" s="280" t="n"/>
    </row>
  </sheetData>
  <mergeCells count="1">
    <mergeCell ref="M4:M25"/>
  </mergeCells>
  <pageMargins left="0.7" right="0.7" top="0.75" bottom="0.75" header="0.511811023622047" footer="0.511811023622047"/>
  <pageSetup orientation="portrait" horizontalDpi="300" verticalDpi="300"/>
</worksheet>
</file>

<file path=xl/worksheets/sheet11.xml><?xml version="1.0" encoding="utf-8"?>
<worksheet xmlns="http://schemas.openxmlformats.org/spreadsheetml/2006/main">
  <sheetPr>
    <outlinePr summaryBelow="1" summaryRight="1"/>
    <pageSetUpPr/>
  </sheetPr>
  <dimension ref="A1:S67"/>
  <sheetViews>
    <sheetView zoomScaleNormal="100" workbookViewId="0">
      <pane xSplit="1" ySplit="3" topLeftCell="B4" activePane="bottomRight" state="frozen"/>
      <selection pane="topRight" activeCell="B1" sqref="B1"/>
      <selection pane="bottomLeft" activeCell="A16" sqref="A16"/>
      <selection pane="bottomRight" activeCell="G10" sqref="G10"/>
    </sheetView>
  </sheetViews>
  <sheetFormatPr baseColWidth="8" defaultColWidth="9.109375" defaultRowHeight="14.4"/>
  <cols>
    <col width="8.88671875" customWidth="1" style="51" min="1" max="1"/>
    <col width="10.88671875" customWidth="1" style="280" min="2" max="2"/>
    <col width="68" customWidth="1" style="280" min="3" max="3"/>
    <col width="10.88671875" customWidth="1" style="280" min="4" max="6"/>
    <col width="9.5546875" customWidth="1" style="280" min="7" max="7"/>
    <col width="9.109375" customWidth="1" style="280" min="8" max="8"/>
    <col width="15.33203125" customWidth="1" style="280" min="9" max="9"/>
    <col width="9.109375" customWidth="1" style="280" min="10" max="12"/>
    <col width="31.33203125" customWidth="1" style="280" min="13" max="14"/>
    <col width="9.109375" customWidth="1" style="280" min="15" max="15"/>
    <col width="7.88671875" customWidth="1" style="280" min="16" max="16"/>
    <col width="9.109375" customWidth="1" style="280" min="17" max="17"/>
    <col width="17" customWidth="1" style="280" min="18" max="18"/>
    <col width="9.109375" customWidth="1" style="280" min="19" max="257"/>
  </cols>
  <sheetData>
    <row r="1" ht="15" customFormat="1" customHeight="1" s="263">
      <c r="A1" s="128" t="n"/>
      <c r="B1" s="22">
        <f>'Structura Investitie'!D12</f>
        <v/>
      </c>
      <c r="C1" s="22">
        <f>'Structura Investitie'!C12</f>
        <v/>
      </c>
      <c r="E1" s="90" t="inlineStr">
        <is>
          <t>pod</t>
        </is>
      </c>
      <c r="F1" s="91" t="n"/>
      <c r="G1" s="90" t="n">
        <v>1</v>
      </c>
      <c r="M1" s="92" t="inlineStr">
        <is>
          <t>1 - exista pod</t>
        </is>
      </c>
    </row>
    <row r="2" ht="15" customFormat="1" customHeight="1" s="263">
      <c r="A2" s="128" t="n"/>
      <c r="D2" s="22">
        <f>'Date cladire'!A83</f>
        <v/>
      </c>
      <c r="E2" s="22">
        <f>'Date cladire'!B83</f>
        <v/>
      </c>
      <c r="G2" s="92" t="n"/>
      <c r="M2" s="92" t="inlineStr">
        <is>
          <t>0- nu exista pod</t>
        </is>
      </c>
    </row>
    <row r="3" ht="37.5" customFormat="1" customHeight="1" s="263">
      <c r="A3" s="48">
        <f>"NrCrt"</f>
        <v/>
      </c>
      <c r="B3" s="48">
        <f>"Simbol"</f>
        <v/>
      </c>
      <c r="C3" s="48" t="inlineStr">
        <is>
          <t>Denumire</t>
        </is>
      </c>
      <c r="D3" s="48">
        <f>"UM"</f>
        <v/>
      </c>
      <c r="E3" s="48">
        <f>"Consum"</f>
        <v/>
      </c>
      <c r="F3" s="48">
        <f>"Cantitate"</f>
        <v/>
      </c>
      <c r="G3" s="49">
        <f>'Date cladire'!B2</f>
        <v/>
      </c>
      <c r="H3" s="263">
        <f>'Date cladire'!D2</f>
        <v/>
      </c>
      <c r="M3" s="263" t="inlineStr">
        <is>
          <t>Obs</t>
        </is>
      </c>
    </row>
    <row r="4" ht="40.5" customFormat="1" customHeight="1" s="263">
      <c r="A4" s="12">
        <f>"1"</f>
        <v/>
      </c>
      <c r="B4" s="87">
        <f>"+RPCA01C"</f>
        <v/>
      </c>
      <c r="C4" s="13" t="inlineStr">
        <is>
          <t>Pregatirea suprafetelor de pe planseul peste ultimul nivel, din pod si de pe terasa , in vederea termoizolarii, curatare si evacuare deseuri</t>
        </is>
      </c>
      <c r="D4" s="87">
        <f>"mp"</f>
        <v/>
      </c>
      <c r="E4" s="210" t="inlineStr">
        <is>
          <t>1.0</t>
        </is>
      </c>
      <c r="F4" s="211">
        <f>E4</f>
        <v/>
      </c>
      <c r="G4" s="52">
        <f>$E$2*'Date cladire'!B20*G1</f>
        <v/>
      </c>
      <c r="H4" s="263">
        <f>$E$2*'Date cladire'!D20*G1</f>
        <v/>
      </c>
    </row>
    <row r="5" ht="40.5" customFormat="1" customHeight="1" s="263">
      <c r="A5" s="12" t="n">
        <v>2</v>
      </c>
      <c r="B5" s="13">
        <f>"IZF01B1 [1]"</f>
        <v/>
      </c>
      <c r="C5" s="13" t="inlineStr">
        <is>
          <t xml:space="preserve">Asimilat - Amorsarea suprafetelor orizontale cu amorsa bituminoasa, in vederea aplicarii stratului hidroizolant din membrana bituminoasa </t>
        </is>
      </c>
      <c r="D5" s="13">
        <f>"mp"</f>
        <v/>
      </c>
      <c r="E5" s="210" t="inlineStr">
        <is>
          <t>1.0</t>
        </is>
      </c>
      <c r="F5" s="216">
        <f>E5</f>
        <v/>
      </c>
      <c r="G5" s="52">
        <f>G4</f>
        <v/>
      </c>
    </row>
    <row r="6" ht="27" customFormat="1" customHeight="1" s="263">
      <c r="A6" s="12" t="n">
        <v>3</v>
      </c>
      <c r="B6" s="13" t="inlineStr">
        <is>
          <t>RPCE07B+ [2]</t>
        </is>
      </c>
      <c r="C6" s="13" t="inlineStr">
        <is>
          <t>Strat de bariera contra vaporilor la plansee termoizolate cu vata minerala</t>
        </is>
      </c>
      <c r="D6" s="13" t="inlineStr">
        <is>
          <t>mp</t>
        </is>
      </c>
      <c r="E6" s="210" t="n"/>
      <c r="F6" s="211" t="n"/>
      <c r="G6" s="66">
        <f>G4</f>
        <v/>
      </c>
      <c r="M6" s="265" t="inlineStr">
        <is>
          <t>atentie la solutia din docs - aici sunt cu VM daca solutia e cu polistiren inlocuim articolele din norme (pozitia 53-56 ) iar daca grosimea termosistemului  e alta cerem norme la Mircea</t>
        </is>
      </c>
    </row>
    <row r="7" ht="54" customFormat="1" customHeight="1" s="263">
      <c r="A7" s="12" t="n">
        <v>4</v>
      </c>
      <c r="B7" s="13" t="inlineStr">
        <is>
          <t>+IZF01O6 [20]</t>
        </is>
      </c>
      <c r="C7" s="13" t="inlineStr">
        <is>
          <t>Sistem termoizolant realizat cu vata minerala de 20cm grosime, cu efort la compresiune de min 20 kPa (agrementat in Romania cu o durabilitate garantata de min 10 ani), la planseul peste ultimul nivel, in pod</t>
        </is>
      </c>
      <c r="D7" s="87">
        <f>"mp"</f>
        <v/>
      </c>
      <c r="E7" s="210" t="inlineStr">
        <is>
          <t>1.0</t>
        </is>
      </c>
      <c r="F7" s="211">
        <f>E7</f>
        <v/>
      </c>
      <c r="G7" s="52">
        <f>G4</f>
        <v/>
      </c>
      <c r="M7" s="266" t="n"/>
    </row>
    <row r="8" ht="67.5" customFormat="1" customHeight="1" s="263">
      <c r="A8" s="12" t="n">
        <v>5</v>
      </c>
      <c r="B8" s="13" t="inlineStr">
        <is>
          <t xml:space="preserve"> +IZF01A6 [5]</t>
        </is>
      </c>
      <c r="C8" s="13" t="inlineStr">
        <is>
          <t>Sistem termoizolant realizat cu vata minerala grosime 5 cm, cu efort la compresiune de min 20 kPa, la aticul din pod (agrementat in Romania cu o durabilitate garantata de min 10 ani), strat finisaj glet si lavabila de exterior</t>
        </is>
      </c>
      <c r="D8" s="87">
        <f>"mp"</f>
        <v/>
      </c>
      <c r="E8" s="210" t="inlineStr">
        <is>
          <t>1.0</t>
        </is>
      </c>
      <c r="F8" s="211">
        <f>E8</f>
        <v/>
      </c>
      <c r="G8" s="52">
        <f>$E$2*'Date cladire'!B7*'Date cladire'!B13*G1</f>
        <v/>
      </c>
      <c r="H8" s="263">
        <f>$E$2*'Date cladire'!D7*'Date cladire'!D13*G1</f>
        <v/>
      </c>
      <c r="I8" s="285" t="n"/>
      <c r="M8" s="266" t="n"/>
    </row>
    <row r="9" ht="67.5" customFormat="1" customHeight="1" s="263">
      <c r="A9" s="12" t="n">
        <v>6</v>
      </c>
      <c r="B9" s="13" t="inlineStr">
        <is>
          <t>+IZF01A8 [6]</t>
        </is>
      </c>
      <c r="C9" s="13" t="inlineStr">
        <is>
          <t>Sistem termoizolant realizat cu vata minerala bazaltica, grosime 5 cm , cu efort la compresiune de min 20 kPa, la gurile de aerisire din pod (agrementat in Romania cu o durabilitate garantata de min 10 ani), strat finisaj glet si lavabila de exterior,</t>
        </is>
      </c>
      <c r="D9" s="87">
        <f>"mp"</f>
        <v/>
      </c>
      <c r="E9" s="210" t="inlineStr">
        <is>
          <t>1.0</t>
        </is>
      </c>
      <c r="F9" s="211">
        <f>E9</f>
        <v/>
      </c>
      <c r="G9" s="52">
        <f>$E$2*0.4*4*0.5*'Date cladire'!B30*G1</f>
        <v/>
      </c>
      <c r="H9" s="263">
        <f>$E$2*0.4*4*0.5*'Date cladire'!D30*G1</f>
        <v/>
      </c>
      <c r="M9" s="267" t="n"/>
    </row>
    <row r="10" ht="52.95" customFormat="1" customHeight="1" s="263">
      <c r="A10" s="12" t="n">
        <v>7</v>
      </c>
      <c r="B10" s="13" t="inlineStr">
        <is>
          <t>CP37J1 [5]</t>
        </is>
      </c>
      <c r="C10" s="13" t="inlineStr">
        <is>
          <t xml:space="preserve">Asimilat - Etansarea rosturilor orizontale la atic terasa sau pod cu fâsii vata minerala bazaltica de 5 cm grosime si profil de rost; </t>
        </is>
      </c>
      <c r="D10" s="87">
        <f>"m"</f>
        <v/>
      </c>
      <c r="E10" s="210" t="inlineStr">
        <is>
          <t>1.0</t>
        </is>
      </c>
      <c r="F10" s="211">
        <f>E10</f>
        <v/>
      </c>
      <c r="G10" s="55">
        <f>$E$2*'Date cladire'!B89</f>
        <v/>
      </c>
      <c r="H10" s="56" t="n"/>
      <c r="I10" s="56" t="n"/>
      <c r="J10" s="56" t="n"/>
      <c r="K10" s="56" t="n"/>
      <c r="L10" s="56" t="n"/>
      <c r="M10" s="105" t="inlineStr">
        <is>
          <t>Suma: Lungimea rosturilor din plan terasa. Nu tot timpul este rost intre 2 scari. De verificat cu pozele sa fie reprezentate. Ex la 2 scari poate fi 1 rost.</t>
        </is>
      </c>
      <c r="N10" s="56" t="n"/>
      <c r="O10" s="56" t="n"/>
      <c r="P10" s="56" t="n"/>
      <c r="Q10" s="56" t="n"/>
      <c r="R10" s="56" t="n"/>
    </row>
    <row r="11" ht="43.95" customFormat="1" customHeight="1" s="263">
      <c r="A11" s="12" t="n">
        <v>8</v>
      </c>
      <c r="B11" s="93" t="inlineStr">
        <is>
          <t xml:space="preserve">CO22A1 [4]
</t>
        </is>
      </c>
      <c r="C11" s="93" t="inlineStr">
        <is>
          <t>Grinzi din lemn ecarisat folosite ca suport pentru dulapii din lemn care protejeaza vata minerala la planseul peste ultimul nivel</t>
        </is>
      </c>
      <c r="D11" s="13" t="inlineStr">
        <is>
          <t>mc</t>
        </is>
      </c>
      <c r="E11" s="210" t="n"/>
      <c r="F11" s="211" t="n"/>
      <c r="G11" s="94">
        <f>G4*0.025</f>
        <v/>
      </c>
      <c r="H11" s="95" t="n"/>
      <c r="I11" s="95" t="n"/>
      <c r="J11" s="95" t="n"/>
      <c r="K11" s="128" t="n"/>
      <c r="L11" s="269" t="inlineStr">
        <is>
          <t>se lasa cantitati doar la solutia din docs</t>
        </is>
      </c>
      <c r="M11" s="268" t="inlineStr">
        <is>
          <t>cand solutia e cu poste de lemn ignifugate
la grinzi : cand VM e 20 cm : s*0,025
cand VM e 25 :s*0,029
cand VM e 30 : s*0,035</t>
        </is>
      </c>
    </row>
    <row r="12" ht="15" customFormat="1" customHeight="1" s="263">
      <c r="A12" s="12" t="n">
        <v>9</v>
      </c>
      <c r="B12" s="76" t="n">
        <v>2960632</v>
      </c>
      <c r="C12" s="76" t="inlineStr">
        <is>
          <t>Lemn ecarisat de rasinoase</t>
        </is>
      </c>
      <c r="D12" s="13" t="inlineStr">
        <is>
          <t>mc</t>
        </is>
      </c>
      <c r="E12" s="210" t="n"/>
      <c r="F12" s="211" t="n"/>
      <c r="G12" s="66">
        <f>G11</f>
        <v/>
      </c>
      <c r="H12" s="128" t="n"/>
      <c r="I12" s="128" t="n"/>
      <c r="J12" s="128" t="n"/>
      <c r="K12" s="128" t="n"/>
      <c r="M12" s="266" t="n"/>
    </row>
    <row r="13" ht="29.4" customFormat="1" customHeight="1" s="270">
      <c r="A13" s="12" t="n">
        <v>10</v>
      </c>
      <c r="B13" s="93" t="inlineStr">
        <is>
          <t xml:space="preserve">CD20A+ [18]
</t>
        </is>
      </c>
      <c r="C13" s="93" t="inlineStr">
        <is>
          <t xml:space="preserve">Dulapi din lemn grosime 48mm utilizati pentru protectie vata minerala la termoizolarea planseului peste ultimul nivel
</t>
        </is>
      </c>
      <c r="D13" s="93" t="inlineStr">
        <is>
          <t>mp</t>
        </is>
      </c>
      <c r="E13" s="217" t="n"/>
      <c r="F13" s="218" t="n"/>
      <c r="G13" s="66">
        <f>G4</f>
        <v/>
      </c>
      <c r="H13" s="128" t="n"/>
      <c r="I13" s="128" t="n"/>
      <c r="J13" s="128" t="n"/>
      <c r="K13" s="96" t="n"/>
      <c r="M13" s="266" t="n"/>
    </row>
    <row r="14" ht="29.4" customFormat="1" customHeight="1" s="270">
      <c r="A14" s="12" t="n">
        <v>11</v>
      </c>
      <c r="B14" s="76" t="inlineStr">
        <is>
          <t>CN54A+ [1]</t>
        </is>
      </c>
      <c r="C14" s="76" t="inlineStr">
        <is>
          <t xml:space="preserve">Ignifugare si protectie insecto-fungicida elementelor de constructii din lemn </t>
        </is>
      </c>
      <c r="D14" s="13" t="inlineStr">
        <is>
          <t>mp</t>
        </is>
      </c>
      <c r="E14" s="217" t="n"/>
      <c r="F14" s="218" t="n"/>
      <c r="G14" s="94">
        <f>G13*2+G12/0.2/0.05*0.5</f>
        <v/>
      </c>
      <c r="H14" s="95" t="n"/>
      <c r="I14" s="95" t="n"/>
      <c r="J14" s="95" t="n"/>
      <c r="K14" s="96" t="n"/>
      <c r="M14" s="267" t="n"/>
    </row>
    <row r="15" ht="41.4" customFormat="1" customHeight="1" s="263">
      <c r="A15" s="12" t="n">
        <v>12</v>
      </c>
      <c r="B15" s="76" t="inlineStr">
        <is>
          <t>CO22A1 [1]</t>
        </is>
      </c>
      <c r="C15" s="76" t="inlineStr">
        <is>
          <t>Grinzi din lemn ecarisat folosite ca suport pentru placi de OSB care protejeaza vata minerala la planseul peste ultimul nivel</t>
        </is>
      </c>
      <c r="D15" s="13" t="inlineStr">
        <is>
          <t>mc</t>
        </is>
      </c>
      <c r="E15" s="210" t="n"/>
      <c r="F15" s="211" t="n"/>
      <c r="G15" s="83">
        <f>G4*0.025</f>
        <v/>
      </c>
      <c r="H15" s="97" t="n"/>
      <c r="I15" s="97" t="n"/>
      <c r="J15" s="97" t="n"/>
      <c r="K15" s="97" t="n"/>
      <c r="M15" s="265" t="inlineStr">
        <is>
          <t>cand solutia e cu placi osb pe grinzi - punem cu 0 la cele de la sapa armata
la osb  : cand VM e 20 cm : s*0,025
cand VM e 25 :s*0,029
cand VM e 30 : s*0,035</t>
        </is>
      </c>
      <c r="N15" s="263" t="inlineStr">
        <is>
          <t>ptr termoistem de 30 calcullul va fi x0,036</t>
        </is>
      </c>
    </row>
    <row r="16" ht="15" customFormat="1" customHeight="1" s="263">
      <c r="A16" s="12" t="n">
        <v>13</v>
      </c>
      <c r="B16" s="76" t="n">
        <v>2960632</v>
      </c>
      <c r="C16" s="76" t="inlineStr">
        <is>
          <t>Lemn ecarisat de rasinoase</t>
        </is>
      </c>
      <c r="D16" s="13" t="inlineStr">
        <is>
          <t>mc</t>
        </is>
      </c>
      <c r="E16" s="210" t="n"/>
      <c r="F16" s="211" t="n"/>
      <c r="G16" s="98">
        <f>G15</f>
        <v/>
      </c>
      <c r="H16" s="97" t="n"/>
      <c r="I16" s="97" t="n"/>
      <c r="J16" s="97" t="n"/>
      <c r="K16" s="97" t="n"/>
      <c r="M16" s="266" t="n"/>
    </row>
    <row r="17" ht="40.5" customFormat="1" customHeight="1" s="263">
      <c r="A17" s="12" t="n">
        <v>14</v>
      </c>
      <c r="B17" s="76" t="inlineStr">
        <is>
          <t>CD20A+ [11]</t>
        </is>
      </c>
      <c r="C17" s="76" t="inlineStr">
        <is>
          <t>Placi din OSB, grosime 12mm utilizate pentru protectie vata minerala la termoizolarea planseului peste ultimul nivel</t>
        </is>
      </c>
      <c r="D17" s="13" t="inlineStr">
        <is>
          <t>mp</t>
        </is>
      </c>
      <c r="E17" s="210" t="n"/>
      <c r="F17" s="211" t="n"/>
      <c r="G17" s="98">
        <f>G4</f>
        <v/>
      </c>
      <c r="H17" s="97" t="n"/>
      <c r="I17" s="97" t="n"/>
      <c r="J17" s="97" t="n"/>
      <c r="K17" s="97" t="n"/>
      <c r="M17" s="266" t="n"/>
      <c r="N17" s="263" t="inlineStr">
        <is>
          <t>ignifugare pt term: 30 = =G17*2+G16/0,3/0,05*0,7</t>
        </is>
      </c>
    </row>
    <row r="18" ht="27" customFormat="1" customHeight="1" s="263">
      <c r="A18" s="12" t="n">
        <v>15</v>
      </c>
      <c r="B18" s="76" t="inlineStr">
        <is>
          <t>CN54A+ [1]</t>
        </is>
      </c>
      <c r="C18" s="76" t="inlineStr">
        <is>
          <t xml:space="preserve">Ignifugare si protectie insecto-fungicida elementelor de constructii din lemn </t>
        </is>
      </c>
      <c r="D18" s="13" t="inlineStr">
        <is>
          <t>mp</t>
        </is>
      </c>
      <c r="E18" s="210" t="n"/>
      <c r="F18" s="211" t="n"/>
      <c r="G18" s="98">
        <f>G17*2+G16/0.2/0.05*0.5</f>
        <v/>
      </c>
      <c r="H18" s="97" t="n"/>
      <c r="I18" s="97" t="n"/>
      <c r="J18" s="97" t="n"/>
      <c r="K18" s="97" t="n"/>
      <c r="M18" s="267" t="n"/>
    </row>
    <row r="19" ht="54" customFormat="1" customHeight="1" s="263">
      <c r="A19" s="12" t="n">
        <v>16</v>
      </c>
      <c r="B19" s="13" t="inlineStr">
        <is>
          <t>CG01D1 [3]</t>
        </is>
      </c>
      <c r="C19" s="13" t="inlineStr">
        <is>
          <t>Strat de protectie a polistirenului executat din mortar de ciment marca M 100-T de 6 cm grosime medie, cu suprafata driscuita la planseul peste ultimul nivel, in pod</t>
        </is>
      </c>
      <c r="D19" s="5" t="inlineStr">
        <is>
          <t>mp</t>
        </is>
      </c>
      <c r="E19" s="210" t="n"/>
      <c r="F19" s="216" t="n"/>
      <c r="G19" s="99">
        <f>G4</f>
        <v/>
      </c>
      <c r="H19" s="100" t="n"/>
      <c r="I19" s="100" t="n"/>
      <c r="J19" s="100" t="n"/>
      <c r="K19" s="100" t="n"/>
      <c r="M19" s="265" t="inlineStr">
        <is>
          <t xml:space="preserve">cand solutia e cu sapa armata </t>
        </is>
      </c>
    </row>
    <row r="20" ht="15" customFormat="1" customHeight="1" s="263">
      <c r="A20" s="12" t="n">
        <v>17</v>
      </c>
      <c r="B20" s="87" t="n">
        <v>2101200</v>
      </c>
      <c r="C20" s="13" t="inlineStr">
        <is>
          <t>Mortar tencuiala M 100 (var pasta) s 1030</t>
        </is>
      </c>
      <c r="D20" s="5" t="inlineStr">
        <is>
          <t>mc</t>
        </is>
      </c>
      <c r="E20" s="210" t="n"/>
      <c r="F20" s="216" t="n"/>
      <c r="G20" s="99">
        <f>G19*0.06</f>
        <v/>
      </c>
      <c r="H20" s="100" t="n"/>
      <c r="I20" s="100" t="n"/>
      <c r="J20" s="100" t="n"/>
      <c r="K20" s="100" t="n"/>
      <c r="M20" s="266" t="n"/>
    </row>
    <row r="21" ht="27" customFormat="1" customHeight="1" s="263">
      <c r="A21" s="12" t="n">
        <v>18</v>
      </c>
      <c r="B21" s="13" t="inlineStr">
        <is>
          <t>IZF28A+ [1]</t>
        </is>
      </c>
      <c r="C21" s="13" t="inlineStr">
        <is>
          <t>Strat de separatie din folie PVC</t>
        </is>
      </c>
      <c r="D21" s="5" t="inlineStr">
        <is>
          <t>mp</t>
        </is>
      </c>
      <c r="E21" s="210" t="n"/>
      <c r="F21" s="216" t="n"/>
      <c r="G21" s="99">
        <f>G19</f>
        <v/>
      </c>
      <c r="H21" s="100" t="n"/>
      <c r="I21" s="100" t="n"/>
      <c r="J21" s="100" t="n"/>
      <c r="K21" s="100" t="n"/>
      <c r="M21" s="266" t="n"/>
    </row>
    <row r="22" ht="27" customFormat="1" customHeight="1" s="263">
      <c r="A22" s="12" t="n">
        <v>19</v>
      </c>
      <c r="B22" s="13" t="inlineStr">
        <is>
          <t>TE06C1</t>
        </is>
      </c>
      <c r="C22" s="13" t="inlineStr">
        <is>
          <t xml:space="preserve">Plasa de armatura sudata tip stnb...d=6mm ochiurile 100x100mm  </t>
        </is>
      </c>
      <c r="D22" s="5" t="inlineStr">
        <is>
          <t>mp</t>
        </is>
      </c>
      <c r="E22" s="210" t="n"/>
      <c r="F22" s="216" t="n"/>
      <c r="G22" s="99">
        <f>G21</f>
        <v/>
      </c>
      <c r="H22" s="100" t="n"/>
      <c r="I22" s="100" t="n"/>
      <c r="J22" s="100" t="n"/>
      <c r="K22" s="100" t="n"/>
      <c r="M22" s="267" t="n"/>
    </row>
    <row r="23" ht="27" customFormat="1" customHeight="1" s="263">
      <c r="A23" s="12" t="n">
        <v>20</v>
      </c>
      <c r="B23" s="87">
        <f>"TRA06A10"</f>
        <v/>
      </c>
      <c r="C23" s="13" t="inlineStr">
        <is>
          <t xml:space="preserve">Transportul rutier al betonului-mortarului cu autobetoniera de...5,5mc dist.  =10km  </t>
        </is>
      </c>
      <c r="D23" s="87">
        <f>"tona"</f>
        <v/>
      </c>
      <c r="E23" s="210" t="inlineStr">
        <is>
          <t>1.0</t>
        </is>
      </c>
      <c r="F23" s="211">
        <f>E23</f>
        <v/>
      </c>
      <c r="G23" s="101">
        <f>G20*2.5</f>
        <v/>
      </c>
      <c r="H23" s="102" t="n"/>
      <c r="I23" s="102" t="n"/>
      <c r="J23" s="102" t="n"/>
      <c r="K23" s="102" t="n"/>
      <c r="M23" s="277" t="n"/>
      <c r="N23" s="277" t="n"/>
      <c r="O23" s="277" t="n"/>
      <c r="P23" s="277" t="n"/>
      <c r="Q23" s="277" t="n"/>
      <c r="R23" s="277" t="n"/>
      <c r="S23" s="277" t="n"/>
    </row>
    <row r="24" ht="15" customFormat="1" customHeight="1" s="263">
      <c r="A24" s="12" t="n">
        <v>21</v>
      </c>
      <c r="B24" s="87">
        <f>"AUT3343"</f>
        <v/>
      </c>
      <c r="C24" s="13" t="inlineStr">
        <is>
          <t>Pompa pneumatica de beton PB250 4-6mc/ora</t>
        </is>
      </c>
      <c r="D24" s="87">
        <f>"ora"</f>
        <v/>
      </c>
      <c r="E24" s="210" t="inlineStr">
        <is>
          <t>1.0</t>
        </is>
      </c>
      <c r="F24" s="211">
        <f>E24</f>
        <v/>
      </c>
      <c r="G24" s="101">
        <f>ROUNDUP(G20/4,0)*G1</f>
        <v/>
      </c>
      <c r="H24" s="102" t="n"/>
      <c r="I24" s="102" t="n"/>
      <c r="J24" s="102" t="n"/>
      <c r="K24" s="102" t="n"/>
      <c r="M24" s="277" t="n"/>
      <c r="N24" s="277" t="n"/>
      <c r="O24" s="277" t="n"/>
      <c r="P24" s="277" t="n"/>
      <c r="Q24" s="277" t="n"/>
      <c r="R24" s="277" t="n"/>
      <c r="S24" s="277" t="n"/>
    </row>
    <row r="25" ht="27" customFormat="1" customHeight="1" s="263">
      <c r="A25" s="12" t="n">
        <v>22</v>
      </c>
      <c r="B25" s="87">
        <f>"TRA02A10"</f>
        <v/>
      </c>
      <c r="C25" s="13" t="inlineStr">
        <is>
          <t xml:space="preserve">Transportul rutier al materialelor,semifabricatelor cu autocamionul pe dist.= ...10 km.  </t>
        </is>
      </c>
      <c r="D25" s="87">
        <f>"tona"</f>
        <v/>
      </c>
      <c r="E25" s="210" t="inlineStr">
        <is>
          <t>1.0</t>
        </is>
      </c>
      <c r="F25" s="211">
        <f>E25</f>
        <v/>
      </c>
      <c r="G25" s="52">
        <f>(G7*12+G8*15+G9*15)/1000+(G12*800+G13*0.048*800+G16*800+G17*7.68)/1000</f>
        <v/>
      </c>
    </row>
    <row r="26" ht="27" customFormat="1" customHeight="1" s="263">
      <c r="A26" s="12" t="n">
        <v>23</v>
      </c>
      <c r="B26" s="87">
        <f>"TRB05A22"</f>
        <v/>
      </c>
      <c r="C26" s="13" t="inlineStr">
        <is>
          <t xml:space="preserve">Transportul materialelor prin purtat direct.materiale...incomode sub 25 kg distanta 20m  </t>
        </is>
      </c>
      <c r="D26" s="87">
        <f>"tona"</f>
        <v/>
      </c>
      <c r="E26" s="210" t="inlineStr">
        <is>
          <t>1.0</t>
        </is>
      </c>
      <c r="F26" s="211">
        <f>E26</f>
        <v/>
      </c>
      <c r="G26" s="52">
        <f>G25</f>
        <v/>
      </c>
    </row>
    <row r="27" ht="40.5" customFormat="1" customHeight="1" s="263">
      <c r="A27" s="12" t="n">
        <v>24</v>
      </c>
      <c r="B27" s="87">
        <f>"TRI1AC13E1"</f>
        <v/>
      </c>
      <c r="C27" s="13" t="inlineStr">
        <is>
          <t>Descarcare...materiale gr.c-ambalate,10-50 kg deplas.prin purtare pina la 10m,asez..auto-rampa,teren ctg</t>
        </is>
      </c>
      <c r="D27" s="87">
        <f>"tona"</f>
        <v/>
      </c>
      <c r="E27" s="210" t="inlineStr">
        <is>
          <t>1.0</t>
        </is>
      </c>
      <c r="F27" s="211">
        <f>E27</f>
        <v/>
      </c>
      <c r="G27" s="52">
        <f>G25</f>
        <v/>
      </c>
    </row>
    <row r="28" ht="15" customHeight="1" s="23">
      <c r="A28" s="89" t="n"/>
    </row>
    <row r="29" ht="15" customHeight="1" s="23">
      <c r="A29" s="89" t="n"/>
      <c r="C29" s="89" t="n"/>
    </row>
    <row r="30" ht="15" customHeight="1" s="23">
      <c r="A30" s="280" t="n"/>
      <c r="C30" s="89" t="n"/>
    </row>
    <row r="31" ht="15" customHeight="1" s="23">
      <c r="A31" s="280" t="n"/>
      <c r="C31" s="89" t="n"/>
    </row>
    <row r="32" ht="15" customHeight="1" s="23">
      <c r="A32" s="280" t="n"/>
    </row>
    <row r="33" ht="15" customHeight="1" s="23">
      <c r="A33" s="280" t="n"/>
    </row>
    <row r="34" ht="15" customHeight="1" s="23">
      <c r="A34" s="280" t="n"/>
    </row>
    <row r="35" ht="15" customHeight="1" s="23">
      <c r="A35" s="280" t="n"/>
    </row>
    <row r="36" ht="15" customHeight="1" s="23">
      <c r="A36" s="280" t="n"/>
    </row>
    <row r="37" ht="15" customHeight="1" s="23">
      <c r="A37" s="280" t="n"/>
    </row>
    <row r="38" ht="15" customHeight="1" s="23">
      <c r="A38" s="280" t="n"/>
    </row>
    <row r="39" ht="15" customHeight="1" s="23">
      <c r="A39" s="280" t="n"/>
    </row>
    <row r="40" ht="15" customHeight="1" s="23">
      <c r="A40" s="280" t="n"/>
    </row>
    <row r="41" ht="15" customHeight="1" s="23">
      <c r="A41" s="280" t="n"/>
    </row>
    <row r="42" ht="15" customHeight="1" s="23">
      <c r="A42" s="280" t="n"/>
    </row>
    <row r="43" ht="15" customHeight="1" s="23">
      <c r="A43" s="280" t="n"/>
    </row>
    <row r="44" ht="15" customHeight="1" s="23">
      <c r="A44" s="280" t="n"/>
    </row>
    <row r="45" ht="15" customHeight="1" s="23">
      <c r="A45" s="280" t="n"/>
    </row>
    <row r="46" ht="15" customHeight="1" s="23">
      <c r="A46" s="280" t="n"/>
    </row>
    <row r="47" ht="15" customHeight="1" s="23">
      <c r="A47" s="280" t="n"/>
    </row>
    <row r="48" ht="15" customHeight="1" s="23">
      <c r="A48" s="280" t="n"/>
    </row>
    <row r="49" ht="15" customHeight="1" s="23">
      <c r="A49" s="280" t="n"/>
    </row>
    <row r="50" ht="15" customHeight="1" s="23">
      <c r="A50" s="280" t="n"/>
    </row>
    <row r="51" ht="15" customHeight="1" s="23">
      <c r="A51" s="280" t="n"/>
    </row>
    <row r="52" ht="15" customHeight="1" s="23">
      <c r="A52" s="280" t="n"/>
    </row>
    <row r="53" ht="15" customHeight="1" s="23">
      <c r="A53" s="280" t="n"/>
    </row>
    <row r="54" ht="15" customHeight="1" s="23">
      <c r="A54" s="280" t="n"/>
    </row>
    <row r="55" ht="15" customHeight="1" s="23">
      <c r="A55" s="280" t="n"/>
    </row>
    <row r="56" ht="15" customHeight="1" s="23">
      <c r="A56" s="280" t="n"/>
    </row>
    <row r="57" ht="15" customHeight="1" s="23">
      <c r="A57" s="280" t="n"/>
    </row>
    <row r="58" ht="15" customHeight="1" s="23">
      <c r="A58" s="280" t="n"/>
    </row>
    <row r="59" ht="15" customHeight="1" s="23">
      <c r="A59" s="280" t="n"/>
    </row>
    <row r="60" ht="15" customHeight="1" s="23">
      <c r="A60" s="280" t="n"/>
    </row>
    <row r="61" ht="15" customHeight="1" s="23">
      <c r="A61" s="280" t="n"/>
    </row>
    <row r="62" ht="15" customHeight="1" s="23">
      <c r="A62" s="280" t="n"/>
    </row>
    <row r="63" ht="15" customHeight="1" s="23">
      <c r="A63" s="280" t="n"/>
    </row>
    <row r="64" ht="15" customHeight="1" s="23">
      <c r="A64" s="280" t="n"/>
    </row>
    <row r="65" ht="15" customHeight="1" s="23">
      <c r="A65" s="280" t="n"/>
    </row>
    <row r="66" ht="15" customHeight="1" s="23">
      <c r="A66" s="280" t="n"/>
    </row>
    <row r="67" ht="15" customHeight="1" s="23">
      <c r="A67" s="280" t="n"/>
    </row>
  </sheetData>
  <mergeCells count="5">
    <mergeCell ref="M19:M22"/>
    <mergeCell ref="M11:M14"/>
    <mergeCell ref="M6:M9"/>
    <mergeCell ref="M15:M18"/>
    <mergeCell ref="L11:L24"/>
  </mergeCells>
  <pageMargins left="0.7" right="0.7" top="0.75" bottom="0.75" header="0.511811023622047" footer="0.511811023622047"/>
  <pageSetup orientation="portrait" paperSize="9" horizontalDpi="300" verticalDpi="300"/>
</worksheet>
</file>

<file path=xl/worksheets/sheet12.xml><?xml version="1.0" encoding="utf-8"?>
<worksheet xmlns="http://schemas.openxmlformats.org/spreadsheetml/2006/main">
  <sheetPr>
    <outlinePr summaryBelow="1" summaryRight="1"/>
    <pageSetUpPr/>
  </sheetPr>
  <dimension ref="A1:O24"/>
  <sheetViews>
    <sheetView zoomScaleNormal="100" workbookViewId="0">
      <pane xSplit="1" ySplit="3" topLeftCell="B10" activePane="bottomRight" state="frozen"/>
      <selection pane="topRight" activeCell="B1" sqref="B1"/>
      <selection pane="bottomLeft" activeCell="A10" sqref="A10"/>
      <selection pane="bottomRight" activeCell="G10" sqref="G10"/>
    </sheetView>
  </sheetViews>
  <sheetFormatPr baseColWidth="8" defaultColWidth="9.109375" defaultRowHeight="14.4"/>
  <cols>
    <col width="8.88671875" customWidth="1" style="280" min="1" max="1"/>
    <col width="12.6640625" customWidth="1" style="280" min="2" max="2"/>
    <col width="56.6640625" customWidth="1" style="280" min="3" max="3"/>
    <col width="10.88671875" customWidth="1" style="280" min="4" max="6"/>
    <col width="9.5546875" customWidth="1" style="280" min="7" max="8"/>
    <col width="11.5546875" customWidth="1" style="280" min="9" max="9"/>
    <col width="9.109375" customWidth="1" style="280" min="10" max="10"/>
    <col width="11.5546875" customWidth="1" style="280" min="11" max="11"/>
    <col width="9.109375" customWidth="1" style="280" min="12" max="12"/>
    <col width="9.5546875" customWidth="1" style="280" min="13" max="13"/>
    <col width="10.109375" customWidth="1" style="280" min="14" max="14"/>
    <col width="9.109375" customWidth="1" style="280" min="15" max="15"/>
    <col width="9.5546875" customWidth="1" style="280" min="16" max="16"/>
    <col width="9.109375" customWidth="1" style="280" min="17" max="257"/>
  </cols>
  <sheetData>
    <row r="1" ht="25.95" customFormat="1" customHeight="1" s="263">
      <c r="B1" s="22">
        <f>'Structura Investitie'!D13</f>
        <v/>
      </c>
      <c r="C1" s="22">
        <f>'Structura Investitie'!C13</f>
        <v/>
      </c>
      <c r="F1" s="92" t="inlineStr">
        <is>
          <t>Invelitoare</t>
        </is>
      </c>
      <c r="G1" s="92" t="n">
        <v>1</v>
      </c>
      <c r="O1" s="92" t="inlineStr">
        <is>
          <t>0-nu</t>
        </is>
      </c>
    </row>
    <row r="2" ht="15" customFormat="1" customHeight="1" s="263">
      <c r="D2" s="22">
        <f>'Date cladire'!A83</f>
        <v/>
      </c>
      <c r="E2" s="22">
        <f>'Date cladire'!B83</f>
        <v/>
      </c>
      <c r="O2" s="92" t="inlineStr">
        <is>
          <t>1-da</t>
        </is>
      </c>
    </row>
    <row r="3" ht="37.5" customFormat="1" customHeight="1" s="263">
      <c r="A3" s="48">
        <f>"NrCrt"</f>
        <v/>
      </c>
      <c r="B3" s="48">
        <f>"Simbol"</f>
        <v/>
      </c>
      <c r="C3" s="48" t="inlineStr">
        <is>
          <t>Denumire</t>
        </is>
      </c>
      <c r="D3" s="48">
        <f>"UM"</f>
        <v/>
      </c>
      <c r="E3" s="48">
        <f>"Consum"</f>
        <v/>
      </c>
      <c r="F3" s="48">
        <f>"Cantitate"</f>
        <v/>
      </c>
      <c r="G3" s="49">
        <f>'Date cladire'!B2</f>
        <v/>
      </c>
      <c r="H3" s="263">
        <f>'Date cladire'!D2</f>
        <v/>
      </c>
    </row>
    <row r="4" ht="40.5" customFormat="1" customHeight="1" s="263">
      <c r="A4" s="12">
        <f>"1"</f>
        <v/>
      </c>
      <c r="B4" s="87">
        <f>"RPCT26XA"</f>
        <v/>
      </c>
      <c r="C4" s="13" t="inlineStr">
        <is>
          <t>Desfacerea invelitorilor din tabla zn sau neagra 0,4-0,5 mm incl.reconditionarea materialului</t>
        </is>
      </c>
      <c r="D4" s="87">
        <f>"mp"</f>
        <v/>
      </c>
      <c r="E4" s="210" t="inlineStr">
        <is>
          <t>1.0</t>
        </is>
      </c>
      <c r="F4" s="211">
        <f>E4</f>
        <v/>
      </c>
      <c r="G4" s="66">
        <f>$E$2*1.25*'Date cladire'!B21*G1*0</f>
        <v/>
      </c>
      <c r="H4" s="128">
        <f>$E$2*1.25*'Date cladire'!D21*G1*0</f>
        <v/>
      </c>
      <c r="I4" s="128" t="n"/>
      <c r="J4" s="128" t="n"/>
      <c r="K4" s="128" t="n"/>
    </row>
    <row r="5" ht="40.5" customFormat="1" customHeight="1" s="263">
      <c r="A5" s="12">
        <f>"2"</f>
        <v/>
      </c>
      <c r="B5" s="87">
        <f>"RPCT26XC"</f>
        <v/>
      </c>
      <c r="C5" s="13" t="inlineStr">
        <is>
          <t>Desfacerea invelitorilor din azbociment,eternit,materioal plastic colorat diferit,plane sau ondulate</t>
        </is>
      </c>
      <c r="D5" s="87">
        <f>"mp"</f>
        <v/>
      </c>
      <c r="E5" s="210" t="inlineStr">
        <is>
          <t>1.0</t>
        </is>
      </c>
      <c r="F5" s="211">
        <f>E5</f>
        <v/>
      </c>
      <c r="G5" s="66">
        <f>$E$2*1.25*'Date cladire'!B21*G1*0</f>
        <v/>
      </c>
      <c r="H5" s="128">
        <f>$E$2*1.25*'Date cladire'!D21*G1*0</f>
        <v/>
      </c>
      <c r="I5" s="128" t="n"/>
      <c r="J5" s="128" t="n"/>
      <c r="K5" s="128" t="n"/>
    </row>
    <row r="6" ht="40.5" customFormat="1" customHeight="1" s="263">
      <c r="A6" s="12">
        <f>"3"</f>
        <v/>
      </c>
      <c r="B6" s="87">
        <f>"RPCT26XB"</f>
        <v/>
      </c>
      <c r="C6" s="13" t="inlineStr">
        <is>
          <t>Desfacerea invelitorilor din olane,tigle solzi sauprofilate cu jgheaburi asezate pe sipci batute</t>
        </is>
      </c>
      <c r="D6" s="87">
        <f>"mp"</f>
        <v/>
      </c>
      <c r="E6" s="210" t="inlineStr">
        <is>
          <t>1.0</t>
        </is>
      </c>
      <c r="F6" s="211">
        <f>E6</f>
        <v/>
      </c>
      <c r="G6" s="66">
        <f>$E$2*1.25*'Date cladire'!B21*G1</f>
        <v/>
      </c>
      <c r="H6" s="128">
        <f>$E$2*1.25*'Date cladire'!D21*G1</f>
        <v/>
      </c>
      <c r="I6" s="128" t="n"/>
      <c r="J6" s="128" t="n"/>
      <c r="K6" s="128" t="n"/>
    </row>
    <row r="7" ht="27" customFormat="1" customHeight="1" s="263">
      <c r="A7" s="12" t="n"/>
      <c r="B7" s="13" t="inlineStr">
        <is>
          <t xml:space="preserve">RPCT26XC [4] </t>
        </is>
      </c>
      <c r="C7" s="13" t="inlineStr">
        <is>
          <t>Desfacerea invelitorilor din placi ondulate bituminoase</t>
        </is>
      </c>
      <c r="D7" s="13" t="inlineStr">
        <is>
          <t>mp</t>
        </is>
      </c>
      <c r="E7" s="210" t="n"/>
      <c r="F7" s="211" t="n"/>
      <c r="G7" s="66" t="n"/>
      <c r="H7" s="128" t="n"/>
      <c r="I7" s="128" t="n"/>
      <c r="J7" s="128" t="n"/>
      <c r="K7" s="128" t="n"/>
    </row>
    <row r="8" ht="40.5" customFormat="1" customHeight="1" s="263">
      <c r="A8" s="12">
        <f>"4"</f>
        <v/>
      </c>
      <c r="B8" s="87">
        <f>"RPCXH13B"</f>
        <v/>
      </c>
      <c r="C8" s="13" t="inlineStr">
        <is>
          <t xml:space="preserve">Desfacerea ...asterelei invelitorii din scindura sau pfl incl. sortare si stivuire materiale.   </t>
        </is>
      </c>
      <c r="D8" s="87">
        <f>"mp"</f>
        <v/>
      </c>
      <c r="E8" s="210" t="inlineStr">
        <is>
          <t>1.0</t>
        </is>
      </c>
      <c r="F8" s="211">
        <f>E8</f>
        <v/>
      </c>
      <c r="G8" s="52">
        <f>G4+G6+G5</f>
        <v/>
      </c>
    </row>
    <row r="9" ht="27" customFormat="1" customHeight="1" s="263">
      <c r="A9" s="12">
        <f>"5"</f>
        <v/>
      </c>
      <c r="B9" s="87">
        <f>"RPCH45A1 [4]"</f>
        <v/>
      </c>
      <c r="C9" s="13" t="inlineStr">
        <is>
          <t>Jgheab din lemn...pentru evacuarea tigle demontate de pe acoperis</t>
        </is>
      </c>
      <c r="D9" s="87">
        <f>"m"</f>
        <v/>
      </c>
      <c r="E9" s="210" t="inlineStr">
        <is>
          <t>1.0</t>
        </is>
      </c>
      <c r="F9" s="211">
        <f>E9</f>
        <v/>
      </c>
      <c r="G9" s="52">
        <f>$E$2*'Date cladire'!B12*G1</f>
        <v/>
      </c>
      <c r="H9" s="263">
        <f>$E$2*'Date cladire'!D12*G1</f>
        <v/>
      </c>
    </row>
    <row r="10" ht="40.5" customFormat="1" customHeight="1" s="263">
      <c r="A10" s="12">
        <f>"6"</f>
        <v/>
      </c>
      <c r="B10" s="87">
        <f>"TRB05A22"</f>
        <v/>
      </c>
      <c r="C10" s="13" t="inlineStr">
        <is>
          <t xml:space="preserve">Transportul materialelor prin purtat direct.materiale...incomode sub 25 kg distanta 20m  </t>
        </is>
      </c>
      <c r="D10" s="87">
        <f>"tona"</f>
        <v/>
      </c>
      <c r="E10" s="210" t="inlineStr">
        <is>
          <t>1.0</t>
        </is>
      </c>
      <c r="F10" s="211">
        <f>E10</f>
        <v/>
      </c>
      <c r="G10" s="52">
        <f>(G6*16*2.9+G8*0.024*800+G7*3.4)/1000</f>
        <v/>
      </c>
    </row>
    <row r="11" ht="40.5" customFormat="1" customHeight="1" s="263">
      <c r="A11" s="12">
        <f>"7"</f>
        <v/>
      </c>
      <c r="B11" s="87">
        <f>"TRI1AA01F3"</f>
        <v/>
      </c>
      <c r="C11" s="13" t="inlineStr">
        <is>
          <t xml:space="preserve">Incarcarea materialelor, grupa a-grele si...marunte,prin tran.pina la 10m rampa sau teren-auto cate  </t>
        </is>
      </c>
      <c r="D11" s="87">
        <f>"tona"</f>
        <v/>
      </c>
      <c r="E11" s="210" t="inlineStr">
        <is>
          <t>1.0</t>
        </is>
      </c>
      <c r="F11" s="211">
        <f>E11</f>
        <v/>
      </c>
      <c r="G11" s="52">
        <f>G10</f>
        <v/>
      </c>
    </row>
    <row r="12" ht="27" customFormat="1" customHeight="1" s="263">
      <c r="A12" s="12">
        <f>"8"</f>
        <v/>
      </c>
      <c r="B12" s="87">
        <f>"TRA01A10P"</f>
        <v/>
      </c>
      <c r="C12" s="13" t="inlineStr">
        <is>
          <t>Transportul rutier al...pamantului sau molozului cu autobasculanta dist.=10 km</t>
        </is>
      </c>
      <c r="D12" s="87">
        <f>"tona"</f>
        <v/>
      </c>
      <c r="E12" s="210" t="inlineStr">
        <is>
          <t>1.0</t>
        </is>
      </c>
      <c r="F12" s="211">
        <f>E12</f>
        <v/>
      </c>
      <c r="G12" s="52">
        <f>G10</f>
        <v/>
      </c>
    </row>
    <row r="13" ht="40.5" customFormat="1" customHeight="1" s="263">
      <c r="A13" s="12">
        <f>"9"</f>
        <v/>
      </c>
      <c r="B13" s="87">
        <f>"CE18A1"</f>
        <v/>
      </c>
      <c r="C13" s="13" t="inlineStr">
        <is>
          <t xml:space="preserve">Astereala la învelitori sau la doliile invelitorilor din tigla si azbociment scinduri din rasinoase  </t>
        </is>
      </c>
      <c r="D13" s="87">
        <f>"mp"</f>
        <v/>
      </c>
      <c r="E13" s="210" t="inlineStr">
        <is>
          <t>1.0</t>
        </is>
      </c>
      <c r="F13" s="211">
        <f>E13</f>
        <v/>
      </c>
      <c r="G13" s="52">
        <f>$E$2*1.25*'Date cladire'!B21*G1</f>
        <v/>
      </c>
      <c r="H13" s="263">
        <f>$E$2*1.25*'Date cladire'!D21*G1</f>
        <v/>
      </c>
    </row>
    <row r="14" ht="40.5" customFormat="1" customHeight="1" s="263">
      <c r="A14" s="12">
        <f>"10"</f>
        <v/>
      </c>
      <c r="B14" s="87">
        <f>"CE20A1 [4]"</f>
        <v/>
      </c>
      <c r="C14" s="87" t="inlineStr">
        <is>
          <t>Sipci din lemn montate la acoperisuri pentru sustinerea si fixarea invelitorilor din tigla metalica</t>
        </is>
      </c>
      <c r="D14" s="87">
        <f>"mp"</f>
        <v/>
      </c>
      <c r="E14" s="210" t="inlineStr">
        <is>
          <t>1.0</t>
        </is>
      </c>
      <c r="F14" s="211">
        <f>E14</f>
        <v/>
      </c>
      <c r="G14" s="66">
        <f>G13</f>
        <v/>
      </c>
      <c r="H14" s="128" t="n"/>
      <c r="I14" s="128" t="n"/>
      <c r="J14" s="128" t="n"/>
      <c r="K14" s="128" t="n"/>
      <c r="L14" s="128" t="n"/>
      <c r="M14" s="128" t="n"/>
      <c r="O14" s="264" t="inlineStr">
        <is>
          <t>in functie de tipul invelitoarei  alegem si tipul sipcilor</t>
        </is>
      </c>
    </row>
    <row r="15" ht="121.5" customFormat="1" customHeight="1" s="263">
      <c r="A15" s="12">
        <f>"11"</f>
        <v/>
      </c>
      <c r="B15" s="87">
        <f>"CE05A1 [1]"</f>
        <v/>
      </c>
      <c r="C15" s="13" t="inlineStr">
        <is>
          <t>Invelitoare din tabla zincata profilata ondulata, fixata si tesute cu suruburi autofiletante - montare invelitoare din tigla metalica (tip lindab sau similar)   
   2300106 - Tigla metalica 0,5 PE din otel galvanizat protejata in sistem multistrat pe ambele fete cu acoperire finala vopsea poliesterica (tip lindab sau similar) sistem complet inclusiv coame,dolii</t>
        </is>
      </c>
      <c r="D15" s="87">
        <f>"mp"</f>
        <v/>
      </c>
      <c r="E15" s="210" t="inlineStr">
        <is>
          <t>1.0</t>
        </is>
      </c>
      <c r="F15" s="211">
        <f>E15</f>
        <v/>
      </c>
      <c r="G15" s="66">
        <f>G13</f>
        <v/>
      </c>
      <c r="H15" s="128" t="n"/>
      <c r="I15" s="128" t="n"/>
      <c r="J15" s="128" t="n"/>
      <c r="K15" s="128" t="n"/>
      <c r="L15" s="128" t="n"/>
      <c r="M15" s="128" t="n"/>
    </row>
    <row r="16" ht="40.5" customFormat="1" customHeight="1" s="263">
      <c r="A16" s="12" t="n">
        <v>12</v>
      </c>
      <c r="B16" s="13" t="inlineStr">
        <is>
          <t>CE20A1 [2]</t>
        </is>
      </c>
      <c r="C16" s="87" t="inlineStr">
        <is>
          <t>Sipci din lemn montate la acoperisuri pentru sustinerea si fixarea invelitorilor din tigla ceramica.</t>
        </is>
      </c>
      <c r="D16" s="13" t="inlineStr">
        <is>
          <t>mp</t>
        </is>
      </c>
      <c r="E16" s="210" t="n"/>
      <c r="F16" s="211" t="n"/>
      <c r="G16" s="98">
        <f>G13*0</f>
        <v/>
      </c>
      <c r="H16" s="97" t="n"/>
      <c r="I16" s="97" t="n"/>
      <c r="J16" s="97" t="n"/>
      <c r="K16" s="97" t="n"/>
      <c r="L16" s="97" t="n"/>
      <c r="M16" s="97" t="n"/>
    </row>
    <row r="17" ht="81" customFormat="1" customHeight="1" s="263">
      <c r="A17" s="12" t="n">
        <v>13</v>
      </c>
      <c r="B17" s="13" t="inlineStr">
        <is>
          <t>CE01A1</t>
        </is>
      </c>
      <c r="C17" s="87" t="inlineStr">
        <is>
          <t>Invelitoare din tigla profilata din argila arsa la acoperisuri fara astereala, asezate pe sipci 28x48 mm, inclusiv executarea din tabla zincata a doliilor, paziilor, racordarilor la cosuri
- 2303016  Tigla cu jgheab lat.cu  4 cioc c2 405x230x11       s515</t>
        </is>
      </c>
      <c r="D17" s="5" t="inlineStr">
        <is>
          <t>mp</t>
        </is>
      </c>
      <c r="E17" s="210" t="inlineStr">
        <is>
          <t>1.0</t>
        </is>
      </c>
      <c r="F17" s="211">
        <f>E17</f>
        <v/>
      </c>
      <c r="G17" s="98">
        <f>G13*0</f>
        <v/>
      </c>
      <c r="H17" s="97" t="n"/>
      <c r="I17" s="97" t="n"/>
      <c r="J17" s="97" t="n"/>
      <c r="K17" s="97" t="n"/>
      <c r="L17" s="97" t="n"/>
      <c r="M17" s="97" t="n"/>
    </row>
    <row r="18" ht="27" customFormat="1" customHeight="1" s="263">
      <c r="A18" s="12" t="n">
        <v>14</v>
      </c>
      <c r="B18" s="13" t="inlineStr">
        <is>
          <t xml:space="preserve">RPCP09A1 [4] </t>
        </is>
      </c>
      <c r="C18" s="103" t="inlineStr">
        <is>
          <t xml:space="preserve">Parazapezi tip bara pentru invelitori </t>
        </is>
      </c>
      <c r="D18" s="13" t="inlineStr">
        <is>
          <t>m</t>
        </is>
      </c>
      <c r="E18" s="219" t="n">
        <v>1</v>
      </c>
      <c r="F18" s="220" t="n">
        <v>1</v>
      </c>
      <c r="G18" s="52">
        <f>$E$2*'Date cladire'!B8*G1</f>
        <v/>
      </c>
      <c r="H18" s="263">
        <f>$E$2*'Date cladire'!D8*G1</f>
        <v/>
      </c>
    </row>
    <row r="19" ht="27" customFormat="1" customHeight="1" s="263">
      <c r="A19" s="12" t="n">
        <v>15</v>
      </c>
      <c r="B19" s="87">
        <f>"IZF03A1 [2]"</f>
        <v/>
      </c>
      <c r="C19" s="13" t="inlineStr">
        <is>
          <t>Folie anticondens montata sub invelitori</t>
        </is>
      </c>
      <c r="D19" s="87">
        <f>"mp"</f>
        <v/>
      </c>
      <c r="E19" s="210" t="inlineStr">
        <is>
          <t>1.0</t>
        </is>
      </c>
      <c r="F19" s="211">
        <f>E19</f>
        <v/>
      </c>
      <c r="G19" s="52">
        <f>G13</f>
        <v/>
      </c>
    </row>
    <row r="20" ht="40.5" customFormat="1" customHeight="1" s="263">
      <c r="A20" s="12" t="n">
        <v>16</v>
      </c>
      <c r="B20" s="87">
        <f>"TRA02A10"</f>
        <v/>
      </c>
      <c r="C20" s="13" t="inlineStr">
        <is>
          <t xml:space="preserve">Transportul rutier al materialelor,semifabricatelor cu autocamionul pe dist.= ...10 km.  </t>
        </is>
      </c>
      <c r="D20" s="87">
        <f>"tona"</f>
        <v/>
      </c>
      <c r="E20" s="210" t="inlineStr">
        <is>
          <t>1.0</t>
        </is>
      </c>
      <c r="F20" s="211">
        <f>E20</f>
        <v/>
      </c>
      <c r="G20" s="52">
        <f>(G13*0.024*800+G14*1+G15*6+G16*1+G17*16*2.9+G18*2)/1000</f>
        <v/>
      </c>
    </row>
    <row r="21" ht="40.5" customFormat="1" customHeight="1" s="263">
      <c r="A21" s="12" t="n">
        <v>17</v>
      </c>
      <c r="B21" s="87">
        <f>"TRI1AC13E1"</f>
        <v/>
      </c>
      <c r="C21" s="13" t="inlineStr">
        <is>
          <t>Descarcare...materiale gr.c-ambalate,10-50 kg deplas.prin purtare pina la 10m,asez..auto-rampa,teren ctg</t>
        </is>
      </c>
      <c r="D21" s="87">
        <f>"tona"</f>
        <v/>
      </c>
      <c r="E21" s="210" t="inlineStr">
        <is>
          <t>1.0</t>
        </is>
      </c>
      <c r="F21" s="211">
        <f>E21</f>
        <v/>
      </c>
      <c r="G21" s="52">
        <f>G20</f>
        <v/>
      </c>
    </row>
    <row r="22" ht="40.5" customFormat="1" customHeight="1" s="263">
      <c r="A22" s="12" t="n">
        <v>18</v>
      </c>
      <c r="B22" s="87">
        <f>"TRB05B12"</f>
        <v/>
      </c>
      <c r="C22" s="13" t="inlineStr">
        <is>
          <t xml:space="preserve">Transportul materialelor prin purtat...direct.materiale comode peste 25 kg distanta 20m  </t>
        </is>
      </c>
      <c r="D22" s="87">
        <f>"tona"</f>
        <v/>
      </c>
      <c r="E22" s="210" t="inlineStr">
        <is>
          <t>1.0</t>
        </is>
      </c>
      <c r="F22" s="211">
        <f>E22</f>
        <v/>
      </c>
      <c r="G22" s="52">
        <f>G21</f>
        <v/>
      </c>
    </row>
    <row r="23" ht="27" customFormat="1" customHeight="1" s="263">
      <c r="A23" s="12" t="n">
        <v>19</v>
      </c>
      <c r="B23" s="87">
        <f>"RPCE30A1"</f>
        <v/>
      </c>
      <c r="C23" s="13" t="inlineStr">
        <is>
          <t>Prelata pentru protejarea terasei pe timp ploios,...pe durata refacerii</t>
        </is>
      </c>
      <c r="D23" s="87">
        <f>"mp"</f>
        <v/>
      </c>
      <c r="E23" s="210" t="inlineStr">
        <is>
          <t>1.0</t>
        </is>
      </c>
      <c r="F23" s="211">
        <f>E23</f>
        <v/>
      </c>
      <c r="G23" s="52">
        <f>$E$2*'Date cladire'!B20*G1</f>
        <v/>
      </c>
      <c r="H23" s="263">
        <f>$E$2*'Date cladire'!D20*G1</f>
        <v/>
      </c>
    </row>
    <row r="24" ht="30" customFormat="1" customHeight="1" s="263">
      <c r="C24" s="104" t="inlineStr">
        <is>
          <t>Manevrarea, depozitarea si transportul in locuri de deseuri toxicea invelitorii din azbociment</t>
        </is>
      </c>
      <c r="D24" s="263" t="inlineStr">
        <is>
          <t>mp</t>
        </is>
      </c>
      <c r="E24" s="210" t="inlineStr">
        <is>
          <t>1.1</t>
        </is>
      </c>
      <c r="F24" s="211">
        <f>E24</f>
        <v/>
      </c>
      <c r="G24" s="55" t="n">
        <v>0</v>
      </c>
    </row>
    <row r="25" ht="15" customFormat="1" customHeight="1" s="263"/>
  </sheetData>
  <mergeCells count="1">
    <mergeCell ref="O14:O17"/>
  </mergeCells>
  <pageMargins left="0.7" right="0.7" top="0.75" bottom="0.75" header="0.511811023622047" footer="0.511811023622047"/>
  <pageSetup orientation="portrait" paperSize="9" horizontalDpi="300" verticalDpi="300"/>
</worksheet>
</file>

<file path=xl/worksheets/sheet13.xml><?xml version="1.0" encoding="utf-8"?>
<worksheet xmlns="http://schemas.openxmlformats.org/spreadsheetml/2006/main">
  <sheetPr>
    <outlinePr summaryBelow="1" summaryRight="1"/>
    <pageSetUpPr/>
  </sheetPr>
  <dimension ref="A1:R29"/>
  <sheetViews>
    <sheetView zoomScaleNormal="100" workbookViewId="0">
      <pane xSplit="1" ySplit="3" topLeftCell="B25" activePane="bottomRight" state="frozen"/>
      <selection pane="topRight" activeCell="B1" sqref="B1"/>
      <selection pane="bottomLeft" activeCell="A18" sqref="A18"/>
      <selection pane="bottomRight" activeCell="G11" sqref="G11"/>
    </sheetView>
  </sheetViews>
  <sheetFormatPr baseColWidth="8" defaultColWidth="9.109375" defaultRowHeight="14.4"/>
  <cols>
    <col width="8.88671875" customWidth="1" style="280" min="1" max="1"/>
    <col width="10.88671875" customWidth="1" style="280" min="2" max="2"/>
    <col width="57.6640625" customWidth="1" style="280" min="3" max="3"/>
    <col width="10.88671875" customWidth="1" style="280" min="4" max="6"/>
    <col width="9.44140625" customWidth="1" style="280" min="7" max="7"/>
    <col width="9.109375" customWidth="1" style="280" min="8" max="9"/>
    <col width="9.5546875" customWidth="1" style="280" min="10" max="10"/>
    <col width="9.109375" customWidth="1" style="280" min="11" max="12"/>
    <col width="5.6640625" customWidth="1" style="280" min="13" max="13"/>
    <col width="10.5546875" customWidth="1" style="280" min="14" max="14"/>
    <col width="10.6640625" customWidth="1" style="280" min="15" max="15"/>
    <col width="27.5546875" customWidth="1" style="280" min="16" max="16"/>
    <col width="9.109375" customWidth="1" style="280" min="17" max="257"/>
  </cols>
  <sheetData>
    <row r="1" ht="15" customFormat="1" customHeight="1" s="263">
      <c r="B1" s="22">
        <f>'Structura Investitie'!D14</f>
        <v/>
      </c>
      <c r="C1" s="22">
        <f>'Structura Investitie'!C14</f>
        <v/>
      </c>
    </row>
    <row r="2" ht="15.75" customFormat="1" customHeight="1" s="263">
      <c r="D2" s="22">
        <f>'Date cladire'!A83</f>
        <v/>
      </c>
      <c r="E2" s="22">
        <f>'Date cladire'!B83</f>
        <v/>
      </c>
    </row>
    <row r="3" ht="39" customFormat="1" customHeight="1" s="263">
      <c r="A3" s="48">
        <f>"NrCrt"</f>
        <v/>
      </c>
      <c r="B3" s="48">
        <f>"Simbol"</f>
        <v/>
      </c>
      <c r="C3" s="48" t="inlineStr">
        <is>
          <t>Denumire</t>
        </is>
      </c>
      <c r="D3" s="48">
        <f>"UM"</f>
        <v/>
      </c>
      <c r="E3" s="48">
        <f>"Consum"</f>
        <v/>
      </c>
      <c r="F3" s="48">
        <f>"Cantitate"</f>
        <v/>
      </c>
      <c r="G3" s="49">
        <f>'Date cladire'!B2</f>
        <v/>
      </c>
      <c r="H3" s="49">
        <f>'Date cladire'!D2</f>
        <v/>
      </c>
      <c r="I3" s="49" t="n"/>
      <c r="J3" s="49" t="n"/>
      <c r="K3" s="49" t="n"/>
      <c r="L3" s="49" t="n"/>
      <c r="M3" s="49" t="n"/>
      <c r="N3" s="49" t="n"/>
      <c r="O3" s="49" t="n"/>
      <c r="P3" s="49" t="n"/>
      <c r="Q3" s="49" t="n"/>
      <c r="R3" s="49" t="n"/>
    </row>
    <row r="4" ht="27.75" customFormat="1" customHeight="1" s="263">
      <c r="A4" s="12">
        <f>"1"</f>
        <v/>
      </c>
      <c r="B4" s="87">
        <f>"RPCT33A1 [18]"</f>
        <v/>
      </c>
      <c r="C4" s="13" t="inlineStr">
        <is>
          <t xml:space="preserve">Demontarea usilor si ferestrelor din lemn, metal sau PVC </t>
        </is>
      </c>
      <c r="D4" s="87">
        <f>"mp"</f>
        <v/>
      </c>
      <c r="E4" s="210" t="inlineStr">
        <is>
          <t>1.0</t>
        </is>
      </c>
      <c r="F4" s="211">
        <f>E4</f>
        <v/>
      </c>
      <c r="G4" s="52">
        <f>$E$2*'Date cladire'!B40</f>
        <v/>
      </c>
      <c r="H4" s="263">
        <f>$E$2*'Date cladire'!D40</f>
        <v/>
      </c>
    </row>
    <row r="5" ht="121.5" customFormat="1" customHeight="1" s="263">
      <c r="A5" s="12">
        <f>"2"</f>
        <v/>
      </c>
      <c r="B5" s="13" t="inlineStr">
        <is>
          <t>+CK01A2 [10]</t>
        </is>
      </c>
      <c r="C5" s="53" t="inlineStr">
        <is>
          <t>Ferestre performante energetic din PVC cu geam termoizolant cu coeficient de transfer termic de max. 1,1 W/m2K, deschideri oscilobatante, dotate cu fante de circulatie controlata a aerului
- 0002447 Fereastra performanta energetic din PVC cu geam termoizolant cu coeficient de transfer termic maxim 1,1 W/m2K, deschideri oscilobatante, dotata cu fante pentru aerisirea controlata a spatiilor</t>
        </is>
      </c>
      <c r="D5" s="87">
        <f>"mp"</f>
        <v/>
      </c>
      <c r="E5" s="210" t="inlineStr">
        <is>
          <t>1.0</t>
        </is>
      </c>
      <c r="F5" s="211">
        <f>E5</f>
        <v/>
      </c>
      <c r="G5" s="52">
        <f>$E$2*'Date cladire'!B41+G4</f>
        <v/>
      </c>
      <c r="H5" s="263">
        <f>$E$2*'Date cladire'!D41+G4</f>
        <v/>
      </c>
    </row>
    <row r="6" ht="108" customFormat="1" customHeight="1" s="263">
      <c r="A6" s="12">
        <f>"3"</f>
        <v/>
      </c>
      <c r="B6" s="13" t="inlineStr">
        <is>
          <t>+CK02A1 [18]</t>
        </is>
      </c>
      <c r="C6" s="53" t="inlineStr">
        <is>
          <t>Usi performante energetic din PVC cu geam termoizolant cu coeficient de transfer termic de max. 1,1 W/m2K, dotate cu fante de circulatie controlata a aerului
-0002488 - Usa performanta energetic din PVC cu geam termoizolant cu coeficient de transfer termic maxim 1,1 W/m2K, dotata cu fante pentru aerisirea controlata a spatiilor</t>
        </is>
      </c>
      <c r="D6" s="87">
        <f>"mp"</f>
        <v/>
      </c>
      <c r="E6" s="210" t="inlineStr">
        <is>
          <t>1.0</t>
        </is>
      </c>
      <c r="F6" s="211">
        <f>E6</f>
        <v/>
      </c>
      <c r="G6" s="52" t="n">
        <v>0</v>
      </c>
    </row>
    <row r="7" ht="67.5" customFormat="1" customHeight="1" s="263">
      <c r="A7" s="12">
        <f>"4"</f>
        <v/>
      </c>
      <c r="B7" s="87">
        <f>"+CK02A2 [5]"</f>
        <v/>
      </c>
      <c r="C7" s="13" t="inlineStr">
        <is>
          <t>Tamplarie din profile PVC, 5 camere si panou tip panel pentru pereti despartitori        
- 20027680 - Tamplarie din profile PVC cu 5 camere si panou din panel  ( pvc-polistiren extrudat-pvc) pentru pereti despartitori</t>
        </is>
      </c>
      <c r="D7" s="87">
        <f>"mp"</f>
        <v/>
      </c>
      <c r="E7" s="210" t="inlineStr">
        <is>
          <t>1.0</t>
        </is>
      </c>
      <c r="F7" s="211">
        <f>E7</f>
        <v/>
      </c>
      <c r="G7" s="52">
        <f>$E$2*'Date cladire'!B42</f>
        <v/>
      </c>
      <c r="H7" s="263">
        <f>$E$2*'Date cladire'!D42</f>
        <v/>
      </c>
    </row>
    <row r="8" ht="94.5" customFormat="1" customHeight="1" s="263">
      <c r="A8" s="12">
        <f>"5"</f>
        <v/>
      </c>
      <c r="B8" s="87">
        <f>"CL21A1"</f>
        <v/>
      </c>
      <c r="C8" s="76" t="inlineStr">
        <is>
          <t>Confectii metalice diverse înglobate total sau partial in beton din profile laminate, tabla, tabla striata, otel beton, tevi pentru sustineri sau acoperiri
-  20027711 Confectii metalice pentru sustinerea invelitorilor la balcoane, vopsite si protejate anticoroziv, gata de montaj</t>
        </is>
      </c>
      <c r="D8" s="87">
        <f>"kg"</f>
        <v/>
      </c>
      <c r="E8" s="210" t="inlineStr">
        <is>
          <t>1.0</t>
        </is>
      </c>
      <c r="F8" s="211">
        <f>E8</f>
        <v/>
      </c>
      <c r="G8" s="52">
        <f>G9*20</f>
        <v/>
      </c>
    </row>
    <row r="9" ht="84.59999999999999" customFormat="1" customHeight="1" s="263">
      <c r="A9" s="12">
        <f>"6"</f>
        <v/>
      </c>
      <c r="B9" s="87">
        <f>"CK20D1 [6]"</f>
        <v/>
      </c>
      <c r="C9" s="76" t="inlineStr">
        <is>
          <t xml:space="preserve">Asimilat - Acoperis din panouri tristrat termoizolante tip sandwich, grosime 100mm, montate direct pe structura metalica la acoperis balcon
 - 2500259 Panou tristrat ( tabla + spuma + tabla)
termoizolant tip sandwich pentru
acoperis grosime 100mm </t>
        </is>
      </c>
      <c r="D9" s="87">
        <f>"mp"</f>
        <v/>
      </c>
      <c r="E9" s="210" t="inlineStr">
        <is>
          <t>1.0</t>
        </is>
      </c>
      <c r="F9" s="211">
        <f>E9</f>
        <v/>
      </c>
      <c r="G9" s="68">
        <f>$E$2*'Date cladire'!B90</f>
        <v/>
      </c>
      <c r="H9" s="56" t="n"/>
      <c r="I9" s="56" t="n"/>
      <c r="J9" s="56" t="n"/>
      <c r="K9" s="56" t="n"/>
      <c r="L9" s="56" t="n"/>
      <c r="M9" s="56" t="n"/>
      <c r="N9" s="56" t="n"/>
      <c r="O9" s="56" t="n"/>
      <c r="P9" s="105" t="inlineStr">
        <is>
          <t>Suma copertina panou sandwich/tristrat la balcoane de la ultimul nivel sau la balcoane decalate/ extinse calculat cu supraf pardoseala din planuri.</t>
        </is>
      </c>
    </row>
    <row r="10" ht="60" customFormat="1" customHeight="1" s="263">
      <c r="A10" s="12">
        <f>"7"</f>
        <v/>
      </c>
      <c r="B10" s="87">
        <f>"RPCT39A1 [4]"</f>
        <v/>
      </c>
      <c r="C10" s="13" t="inlineStr">
        <is>
          <t>Demontarea elementelor ornamentale din sticla securizata, PVC, lemn, etc, de la parapetii balcoanelor si logiilor, inclusiv manipularea acestora in santier la depozitul de moloz.</t>
        </is>
      </c>
      <c r="D10" s="87">
        <f>"mp"</f>
        <v/>
      </c>
      <c r="E10" s="210" t="inlineStr">
        <is>
          <t>1.0</t>
        </is>
      </c>
      <c r="F10" s="211">
        <f>E10</f>
        <v/>
      </c>
      <c r="G10" s="68">
        <f>$E$2*'Date cladire'!B91</f>
        <v/>
      </c>
      <c r="H10" s="56" t="n"/>
      <c r="I10" s="56" t="n"/>
      <c r="J10" s="56" t="n"/>
      <c r="K10" s="56" t="n"/>
      <c r="L10" s="56" t="n"/>
      <c r="M10" s="56" t="n"/>
      <c r="N10" s="56" t="n"/>
      <c r="O10" s="264" t="inlineStr">
        <is>
          <t xml:space="preserve">Se verifica solutia de pe docs si se verifca fiecare articol iar dupa caz se adapteaza formulele/cantitatile </t>
        </is>
      </c>
      <c r="P10" s="106" t="inlineStr">
        <is>
          <t>Suma lungimilor balcoanelor x 0,9 sau 1; din poze sau  din fatadele existente
sau din poze</t>
        </is>
      </c>
    </row>
    <row r="11" ht="67.5" customFormat="1" customHeight="1" s="263">
      <c r="A11" s="12" t="n"/>
      <c r="B11" s="87">
        <f>"RPCT39A1 [1]"</f>
        <v/>
      </c>
      <c r="C11" s="13" t="inlineStr">
        <is>
          <t>Demontarea balustradelor, grilelor, si parapetelor metalice  montate în beton, inclusiv elementele componente ale acestora,  sticla, prefabricate din beton, elemente ornamentale din plastic sau lemn, de la balcoane si logii.</t>
        </is>
      </c>
      <c r="D11" s="13" t="inlineStr">
        <is>
          <t>kg</t>
        </is>
      </c>
      <c r="E11" s="210" t="n"/>
      <c r="F11" s="211" t="n"/>
      <c r="G11" s="68">
        <f>$E$2*0</f>
        <v/>
      </c>
      <c r="H11" s="56" t="n"/>
      <c r="I11" s="56" t="n"/>
      <c r="J11" s="56" t="n"/>
      <c r="K11" s="56" t="n"/>
      <c r="L11" s="56" t="n"/>
      <c r="M11" s="56" t="n"/>
      <c r="N11" s="56" t="n"/>
      <c r="P11" s="106" t="n"/>
    </row>
    <row r="12" ht="45" customFormat="1" customHeight="1" s="263">
      <c r="A12" s="12">
        <f>"8"</f>
        <v/>
      </c>
      <c r="B12" s="87">
        <f>"CL20B1"</f>
        <v/>
      </c>
      <c r="C12" s="76" t="inlineStr">
        <is>
          <t xml:space="preserve">Confectii metalice diverse, montate aparent  balustrazi grile, chepeng, opritori, gratare
 - 2601294 Confectii metalice diverse </t>
        </is>
      </c>
      <c r="D12" s="87">
        <f>"kg"</f>
        <v/>
      </c>
      <c r="E12" s="210" t="inlineStr">
        <is>
          <t>2.0</t>
        </is>
      </c>
      <c r="F12" s="211">
        <f>E12</f>
        <v/>
      </c>
      <c r="G12" s="98">
        <f>G10*2</f>
        <v/>
      </c>
      <c r="H12" s="97" t="n"/>
      <c r="I12" s="97" t="n"/>
      <c r="J12" s="97" t="n"/>
      <c r="K12" s="97" t="n"/>
      <c r="L12" s="97" t="n"/>
      <c r="M12" s="97" t="n"/>
      <c r="N12" s="97" t="n"/>
      <c r="P12" s="105" t="inlineStr">
        <is>
          <t xml:space="preserve">2 kg x mp placocem pentru  completare si reparare balustrada </t>
        </is>
      </c>
    </row>
    <row r="13" ht="81" customFormat="1" customHeight="1" s="263">
      <c r="A13" s="12">
        <f>"9"</f>
        <v/>
      </c>
      <c r="B13" s="87">
        <f>"CL20A1 [4]"</f>
        <v/>
      </c>
      <c r="C13" s="13" t="inlineStr">
        <is>
          <t>Confectii metalice diverse din profile metalice, otel beton, montate la parapetii balcoanelor pentru sustineri si consolidari
-  20027713 Confectii metalice diverse din profile laminate, tevi rectangulare, tabla, etc confectionate conform detaliu</t>
        </is>
      </c>
      <c r="D13" s="87">
        <f>"kg"</f>
        <v/>
      </c>
      <c r="E13" s="210" t="inlineStr">
        <is>
          <t>1.0</t>
        </is>
      </c>
      <c r="F13" s="211">
        <f>E13</f>
        <v/>
      </c>
      <c r="G13" s="98">
        <f>G10*10</f>
        <v/>
      </c>
      <c r="H13" s="97" t="n"/>
      <c r="I13" s="97" t="n"/>
      <c r="J13" s="97" t="n"/>
      <c r="K13" s="97" t="n"/>
      <c r="L13" s="97" t="n"/>
      <c r="M13" s="97" t="n"/>
      <c r="N13" s="97" t="n"/>
      <c r="P13" s="105" t="inlineStr">
        <is>
          <t>10 kg x mp de parapet si stratul suport pentru placocem</t>
        </is>
      </c>
    </row>
    <row r="14" ht="57" customFormat="1" customHeight="1" s="263">
      <c r="A14" s="12">
        <f>"10"</f>
        <v/>
      </c>
      <c r="B14" s="87">
        <f>"CN09XB"</f>
        <v/>
      </c>
      <c r="C14" s="13" t="inlineStr">
        <is>
          <t>Vopsitorii la balustrade,grile si parapete metalice cu email alchidic
 -6108373  - Email gri e.825-8 ntr 1703-80 
- 6100917 - Grund alchid anticoroziv rosu g 735-5 k</t>
        </is>
      </c>
      <c r="D14" s="87">
        <f>"mp"</f>
        <v/>
      </c>
      <c r="E14" s="210" t="inlineStr">
        <is>
          <t>1.0</t>
        </is>
      </c>
      <c r="F14" s="211">
        <f>E14</f>
        <v/>
      </c>
      <c r="G14" s="98">
        <f>G10</f>
        <v/>
      </c>
      <c r="H14" s="97" t="n"/>
      <c r="I14" s="97" t="n"/>
      <c r="J14" s="97" t="n"/>
      <c r="K14" s="97" t="n"/>
      <c r="L14" s="97" t="n"/>
      <c r="M14" s="97" t="n"/>
      <c r="N14" s="97" t="n"/>
    </row>
    <row r="15" ht="40.5" customFormat="1" customHeight="1" s="263">
      <c r="A15" s="12">
        <f>"11"</f>
        <v/>
      </c>
      <c r="B15" s="87">
        <f>"CD18A% [5]"</f>
        <v/>
      </c>
      <c r="C15" s="13" t="inlineStr">
        <is>
          <t>Placare cu placi de ciment armate cu plasa din fibra de sticla tip placocem, 1 strat, la parapetii balcoanelor si logiilor</t>
        </is>
      </c>
      <c r="D15" s="87">
        <f>"mp"</f>
        <v/>
      </c>
      <c r="E15" s="210" t="inlineStr">
        <is>
          <t>1.0</t>
        </is>
      </c>
      <c r="F15" s="211">
        <f>E15</f>
        <v/>
      </c>
      <c r="G15" s="98">
        <f>G10</f>
        <v/>
      </c>
      <c r="H15" s="97" t="n"/>
      <c r="I15" s="97" t="n"/>
      <c r="J15" s="97" t="n"/>
      <c r="K15" s="97" t="n"/>
      <c r="L15" s="97" t="n"/>
      <c r="M15" s="97" t="n"/>
      <c r="N15" s="97" t="n"/>
      <c r="P15" s="280" t="inlineStr">
        <is>
          <t>placocem ext</t>
        </is>
      </c>
    </row>
    <row r="16" ht="40.5" customFormat="1" customHeight="1" s="263">
      <c r="A16" s="12">
        <f>"12"</f>
        <v/>
      </c>
      <c r="B16" s="87">
        <f>"CD18A% [4]"</f>
        <v/>
      </c>
      <c r="C16" s="13" t="inlineStr">
        <is>
          <t>Placare cu placi de gipscarton pe structura metalica montata la parapetii balcoanelor si logiilor</t>
        </is>
      </c>
      <c r="D16" s="87">
        <f>"mp"</f>
        <v/>
      </c>
      <c r="E16" s="210" t="inlineStr">
        <is>
          <t>1.0</t>
        </is>
      </c>
      <c r="F16" s="211">
        <f>E16</f>
        <v/>
      </c>
      <c r="G16" s="66">
        <f>G10</f>
        <v/>
      </c>
      <c r="H16" s="128" t="n"/>
      <c r="I16" s="128" t="n"/>
      <c r="J16" s="128" t="n"/>
      <c r="K16" s="128" t="n"/>
      <c r="L16" s="128" t="n"/>
      <c r="M16" s="128" t="n"/>
      <c r="N16" s="128" t="n"/>
      <c r="P16" s="280" t="inlineStr">
        <is>
          <t>gipscarton interior</t>
        </is>
      </c>
    </row>
    <row r="17" ht="40.5" customFormat="1" customHeight="1" s="263">
      <c r="A17" s="12">
        <f>"13"</f>
        <v/>
      </c>
      <c r="B17" s="87">
        <f>"CF10C1 [3]"</f>
        <v/>
      </c>
      <c r="C17" s="13" t="inlineStr">
        <is>
          <t>Glet de ipsos aditivat, din produse uscate predozate, aplicat manual in 1 strat pe suprafete de gipscarton la pereti interiori</t>
        </is>
      </c>
      <c r="D17" s="87">
        <f>"mp"</f>
        <v/>
      </c>
      <c r="E17" s="210" t="inlineStr">
        <is>
          <t>1.0</t>
        </is>
      </c>
      <c r="F17" s="211">
        <f>E17</f>
        <v/>
      </c>
      <c r="G17" s="66">
        <f>0.3*G16</f>
        <v/>
      </c>
      <c r="H17" s="128" t="n"/>
      <c r="I17" s="128" t="n"/>
      <c r="J17" s="128" t="n"/>
      <c r="K17" s="128" t="n"/>
      <c r="L17" s="128" t="n"/>
      <c r="M17" s="128" t="n"/>
      <c r="N17" s="263" t="inlineStr">
        <is>
          <t>30% din gipscarton</t>
        </is>
      </c>
    </row>
    <row r="18" ht="117" customFormat="1" customHeight="1" s="263">
      <c r="A18" s="12">
        <f>"14"</f>
        <v/>
      </c>
      <c r="B18" s="87">
        <f>"CN01B+[ 1 ]"</f>
        <v/>
      </c>
      <c r="C18" s="13" t="inlineStr">
        <is>
          <t xml:space="preserve">Vopsitorii interioare cu vopsea lavabila aplicate manualUn strat amorsa (dilutie 1:4) si un 2 straturi vopsea lavabila de interior , aplicate pe suprafete interioare noi, foarte absorbante;
 - 2600052 Amorsa pentru zugraveli lavabile
interioare
 - 2600053  Vopsea lavabila de interior de culoare
alba </t>
        </is>
      </c>
      <c r="D18" s="87">
        <f>"mp"</f>
        <v/>
      </c>
      <c r="E18" s="210" t="inlineStr">
        <is>
          <t>1.0</t>
        </is>
      </c>
      <c r="F18" s="211">
        <f>E18</f>
        <v/>
      </c>
      <c r="G18" s="66">
        <f>G10</f>
        <v/>
      </c>
      <c r="H18" s="128" t="n"/>
      <c r="I18" s="128" t="n"/>
      <c r="J18" s="128" t="n"/>
      <c r="K18" s="128" t="n"/>
      <c r="L18" s="128" t="n"/>
      <c r="M18" s="128" t="n"/>
      <c r="N18" s="128" t="n"/>
    </row>
    <row r="19" ht="40.5" customFormat="1" customHeight="1" s="263">
      <c r="A19" s="12">
        <f>"16"</f>
        <v/>
      </c>
      <c r="B19" s="87">
        <f>"TRA02A10"</f>
        <v/>
      </c>
      <c r="C19" s="13" t="inlineStr">
        <is>
          <t xml:space="preserve">Transportul rutier al materialelor,semifabricatelor cu autocamionul pe dist.= ...10 km.  </t>
        </is>
      </c>
      <c r="D19" s="87">
        <f>"tona"</f>
        <v/>
      </c>
      <c r="E19" s="210" t="inlineStr">
        <is>
          <t>1.0</t>
        </is>
      </c>
      <c r="F19" s="211">
        <f>E19</f>
        <v/>
      </c>
      <c r="G19" s="52">
        <f>(G4*30+G5*60+G6*60+G7*60)/1000+(G8+G9*14+G12+G13+G15*13.5+G16*8.13+G22*1100+G23*30+G24*3+G26*15+G27*25)/1000</f>
        <v/>
      </c>
    </row>
    <row r="20" ht="40.5" customFormat="1" customHeight="1" s="263">
      <c r="A20" s="12">
        <f>"17"</f>
        <v/>
      </c>
      <c r="B20" s="87">
        <f>"TRI1AC13E1"</f>
        <v/>
      </c>
      <c r="C20" s="13" t="inlineStr">
        <is>
          <t>Descarcare...materiale gr.c-ambalate,10-50 kg deplas.prin purtare pina la 10m,asez..auto-rampa,teren ctg</t>
        </is>
      </c>
      <c r="D20" s="87">
        <f>"tona"</f>
        <v/>
      </c>
      <c r="E20" s="210" t="inlineStr">
        <is>
          <t>1.0</t>
        </is>
      </c>
      <c r="F20" s="211">
        <f>E20</f>
        <v/>
      </c>
      <c r="G20" s="52">
        <f>G19</f>
        <v/>
      </c>
    </row>
    <row r="21" ht="40.5" customFormat="1" customHeight="1" s="263">
      <c r="A21" s="12">
        <f>"18"</f>
        <v/>
      </c>
      <c r="B21" s="87">
        <f>"TRB05A22"</f>
        <v/>
      </c>
      <c r="C21" s="13" t="inlineStr">
        <is>
          <t xml:space="preserve">Transportul materialelor prin purtat direct.materiale...incomode sub 25 kg distanta 20m  </t>
        </is>
      </c>
      <c r="D21" s="87">
        <f>"tona"</f>
        <v/>
      </c>
      <c r="E21" s="210" t="inlineStr">
        <is>
          <t>1.0</t>
        </is>
      </c>
      <c r="F21" s="211">
        <f>E21</f>
        <v/>
      </c>
      <c r="G21" s="52">
        <f>G19</f>
        <v/>
      </c>
    </row>
    <row r="22" ht="27" customFormat="1" customHeight="1" s="263">
      <c r="A22" s="12">
        <f>"19"</f>
        <v/>
      </c>
      <c r="B22" s="87">
        <f>"CD07A1 [5]"</f>
        <v/>
      </c>
      <c r="C22" s="13" t="inlineStr">
        <is>
          <t xml:space="preserve">Zidarie din blocuri bca executata la parapetii balcoanelor sau logiilor pentru umplere goluri </t>
        </is>
      </c>
      <c r="D22" s="87">
        <f>"mc"</f>
        <v/>
      </c>
      <c r="E22" s="210" t="inlineStr">
        <is>
          <t>1.0</t>
        </is>
      </c>
      <c r="F22" s="211">
        <f>E22</f>
        <v/>
      </c>
      <c r="G22" s="68">
        <f>$E$2*0</f>
        <v/>
      </c>
      <c r="H22" s="56" t="n"/>
      <c r="I22" s="56" t="n"/>
      <c r="J22" s="56" t="n"/>
      <c r="K22" s="56" t="n"/>
      <c r="L22" s="56" t="n"/>
      <c r="M22" s="56" t="n"/>
      <c r="N22" s="56" t="n"/>
      <c r="O22" s="56" t="n"/>
    </row>
    <row r="23" ht="67.5" customFormat="1" customHeight="1" s="263">
      <c r="A23" s="12" t="n">
        <v>20</v>
      </c>
      <c r="B23" s="13" t="inlineStr">
        <is>
          <t>CF01B1[ 3 ]</t>
        </is>
      </c>
      <c r="C23" s="13" t="inlineStr">
        <is>
          <t>Tencuieli interioaredriscuite la pereti,execut. manual,de 2 cm grosime,pe
zidarie. exclusiv schela executate la parapetii logiilor sau balcoanelor; 
2101200 Mortar tencuiala M100 (var pasta) s 1030</t>
        </is>
      </c>
      <c r="D23" s="13" t="inlineStr">
        <is>
          <t>mp</t>
        </is>
      </c>
      <c r="E23" s="210" t="n"/>
      <c r="F23" s="211" t="n"/>
      <c r="G23" s="68">
        <f>$E$2*0</f>
        <v/>
      </c>
      <c r="H23" s="56" t="n"/>
      <c r="I23" s="56" t="n"/>
      <c r="J23" s="56" t="n"/>
      <c r="K23" s="56" t="n"/>
      <c r="L23" s="56" t="n"/>
      <c r="M23" s="56" t="n"/>
      <c r="N23" s="56" t="n"/>
      <c r="O23" s="56" t="n"/>
    </row>
    <row r="24" ht="54" customFormat="1" customHeight="1" s="263">
      <c r="A24" s="12" t="n">
        <v>21</v>
      </c>
      <c r="B24" s="13" t="inlineStr">
        <is>
          <t>CF10C1[ 12 ]</t>
        </is>
      </c>
      <c r="C24" s="13" t="inlineStr">
        <is>
          <t>Glet de ipsos aditivat, din produse uscate predozate, aplicat manual in2 straturi pe tencuieli interioare driscuite la pereti interiori;</t>
        </is>
      </c>
      <c r="D24" s="87">
        <f>"mp"</f>
        <v/>
      </c>
      <c r="E24" s="210" t="inlineStr">
        <is>
          <t>1.0</t>
        </is>
      </c>
      <c r="F24" s="211">
        <f>E24</f>
        <v/>
      </c>
      <c r="G24" s="68">
        <f>$E$2*0</f>
        <v/>
      </c>
      <c r="H24" s="56" t="n"/>
      <c r="I24" s="56" t="n"/>
      <c r="J24" s="56" t="n"/>
      <c r="K24" s="56" t="n"/>
      <c r="L24" s="56" t="n"/>
      <c r="M24" s="56" t="n"/>
      <c r="N24" s="56" t="n"/>
      <c r="O24" s="56" t="n"/>
    </row>
    <row r="25" ht="135" customFormat="1" customHeight="1" s="263">
      <c r="A25" s="12" t="n">
        <v>22</v>
      </c>
      <c r="B25" s="87">
        <f>"CN01B+[ 1 ]"</f>
        <v/>
      </c>
      <c r="C25" s="13" t="inlineStr">
        <is>
          <t xml:space="preserve">Vopsitorii interioare cu vopsea lavabila aplicate manualUn strat amorsa (dilutie 1:4) si un 2 straturi vopsea lavabila de interior , aplicate pe suprafete interioare noi, foarte absorbante;
 - 2600052 Amorsa pentru zugraveli lavabile
interioare
 - 2600053  Vopsea lavabila de interior de culoare
alba </t>
        </is>
      </c>
      <c r="D25" s="87">
        <f>"mp"</f>
        <v/>
      </c>
      <c r="E25" s="210" t="inlineStr">
        <is>
          <t>1.0</t>
        </is>
      </c>
      <c r="F25" s="211">
        <f>E25</f>
        <v/>
      </c>
      <c r="G25" s="68">
        <f>$E$2*0</f>
        <v/>
      </c>
      <c r="H25" s="56" t="n"/>
      <c r="I25" s="56" t="n"/>
      <c r="J25" s="56" t="n"/>
      <c r="K25" s="56" t="n"/>
      <c r="L25" s="56" t="n"/>
      <c r="M25" s="56" t="n"/>
      <c r="N25" s="56" t="n"/>
      <c r="O25" s="56" t="n"/>
    </row>
    <row r="26" ht="87" customFormat="1" customHeight="1" s="263">
      <c r="A26" s="12" t="n">
        <v>23</v>
      </c>
      <c r="B26" s="13" t="inlineStr">
        <is>
          <t>+IZA02A8 [6]</t>
        </is>
      </c>
      <c r="C26" s="13" t="inlineStr">
        <is>
          <t>Sistem termohidroizolant  realizat la copertina balconului de la ultimul etaj, cu polistiren expandat ignifugat EPS 120 de 20 cm grosime si 3 straturi de membrane bituminoase hidroizolante,(agrem. in Romania cu o durabilitate garantata de min 10 ani ).</t>
        </is>
      </c>
      <c r="D26" s="87">
        <f>"mp"</f>
        <v/>
      </c>
      <c r="E26" s="210" t="inlineStr">
        <is>
          <t>7.7</t>
        </is>
      </c>
      <c r="F26" s="211">
        <f>E26</f>
        <v/>
      </c>
      <c r="G26" s="68">
        <f>$E$2*0</f>
        <v/>
      </c>
      <c r="H26" s="56" t="n"/>
      <c r="I26" s="56" t="n"/>
      <c r="J26" s="56" t="n"/>
      <c r="K26" s="56" t="n"/>
      <c r="L26" s="56" t="n"/>
      <c r="M26" s="56" t="n"/>
      <c r="N26" s="56" t="n"/>
      <c r="O26" s="56" t="n"/>
    </row>
    <row r="27" ht="27" customFormat="1" customHeight="1" s="263">
      <c r="A27" s="107" t="n">
        <v>24</v>
      </c>
      <c r="B27" s="108" t="inlineStr">
        <is>
          <t xml:space="preserve">CM06P1 [3] </t>
        </is>
      </c>
      <c r="C27" s="109" t="inlineStr">
        <is>
          <t xml:space="preserve">Sticla securizata colorata montata la parapeti balcoane </t>
        </is>
      </c>
      <c r="D27" s="109" t="inlineStr">
        <is>
          <t>mp</t>
        </is>
      </c>
      <c r="E27" s="221" t="inlineStr">
        <is>
          <t>1.0</t>
        </is>
      </c>
      <c r="F27" s="222">
        <f>E27</f>
        <v/>
      </c>
      <c r="G27" s="68">
        <f>$E$2*0</f>
        <v/>
      </c>
      <c r="H27" s="56" t="n"/>
      <c r="I27" s="56" t="n"/>
      <c r="J27" s="56" t="n"/>
      <c r="K27" s="56" t="n"/>
      <c r="L27" s="56" t="n"/>
      <c r="M27" s="56" t="n"/>
      <c r="N27" s="56" t="n"/>
      <c r="O27" s="56" t="n"/>
    </row>
    <row r="28" ht="40.5" customFormat="1" customHeight="1" s="263">
      <c r="A28" s="123" t="n">
        <v>25</v>
      </c>
      <c r="B28" s="110" t="inlineStr">
        <is>
          <t>TRI1AA01C3</t>
        </is>
      </c>
      <c r="C28" s="13" t="inlineStr">
        <is>
          <t xml:space="preserve">Incarcarea materialelor, grupa a-grele si...marunte,prin aruncare rampa sau teren-auto categ.3 </t>
        </is>
      </c>
      <c r="D28" s="13" t="inlineStr">
        <is>
          <t>tona</t>
        </is>
      </c>
      <c r="E28" s="210" t="n"/>
      <c r="F28" s="223" t="n"/>
      <c r="G28" s="111">
        <f>(G10*15+G11)/1000</f>
        <v/>
      </c>
    </row>
    <row r="29" ht="30" customFormat="1" customHeight="1" s="263">
      <c r="A29" s="112" t="n">
        <v>26</v>
      </c>
      <c r="B29" s="113" t="inlineStr">
        <is>
          <t>TRA01A10P</t>
        </is>
      </c>
      <c r="C29" s="113" t="inlineStr">
        <is>
          <t>Transportul rutier al...pamantului sau molozului cu autobasculanta dist.=10 km</t>
        </is>
      </c>
      <c r="D29" s="49" t="inlineStr">
        <is>
          <t>tona</t>
        </is>
      </c>
      <c r="E29" s="49" t="n"/>
      <c r="F29" s="114" t="n"/>
      <c r="G29" s="52">
        <f>G28</f>
        <v/>
      </c>
    </row>
  </sheetData>
  <mergeCells count="1">
    <mergeCell ref="O10:O18"/>
  </mergeCells>
  <pageMargins left="0.7" right="0.7" top="0.75" bottom="0.75" header="0.511811023622047" footer="0.511811023622047"/>
  <pageSetup orientation="portrait" paperSize="9" horizontalDpi="300" verticalDpi="300"/>
</worksheet>
</file>

<file path=xl/worksheets/sheet14.xml><?xml version="1.0" encoding="utf-8"?>
<worksheet xmlns="http://schemas.openxmlformats.org/spreadsheetml/2006/main">
  <sheetPr>
    <outlinePr summaryBelow="1" summaryRight="1"/>
    <pageSetUpPr/>
  </sheetPr>
  <dimension ref="A1:S7"/>
  <sheetViews>
    <sheetView zoomScaleNormal="100" workbookViewId="0">
      <pane xSplit="1" ySplit="3" topLeftCell="B4" activePane="bottomRight" state="frozen"/>
      <selection pane="topRight" activeCell="B1" sqref="B1"/>
      <selection pane="bottomLeft" activeCell="A4" sqref="A4"/>
      <selection pane="bottomRight" activeCell="J31" sqref="J31"/>
    </sheetView>
  </sheetViews>
  <sheetFormatPr baseColWidth="8" defaultColWidth="9.109375" defaultRowHeight="14.4"/>
  <cols>
    <col width="8.88671875" customWidth="1" style="280" min="1" max="1"/>
    <col width="10.88671875" customWidth="1" style="280" min="2" max="2"/>
    <col width="56.5546875" customWidth="1" style="280" min="3" max="3"/>
    <col width="10.88671875" customWidth="1" style="280" min="4" max="6"/>
    <col width="9.109375" customWidth="1" style="280" min="7" max="257"/>
  </cols>
  <sheetData>
    <row r="1" ht="15" customFormat="1" customHeight="1" s="263">
      <c r="B1" s="22">
        <f>'Structura Investitie'!D15</f>
        <v/>
      </c>
      <c r="C1" s="22">
        <f>'Structura Investitie'!C15</f>
        <v/>
      </c>
    </row>
    <row r="2" ht="15" customFormat="1" customHeight="1" s="263">
      <c r="D2" s="22">
        <f>'Date cladire'!A83</f>
        <v/>
      </c>
      <c r="E2" s="22">
        <f>'Date cladire'!B83</f>
        <v/>
      </c>
      <c r="F2" s="22" t="n"/>
    </row>
    <row r="3" ht="37.5" customFormat="1" customHeight="1" s="263">
      <c r="A3" s="48">
        <f>"NrCrt"</f>
        <v/>
      </c>
      <c r="B3" s="48">
        <f>"Simbol"</f>
        <v/>
      </c>
      <c r="C3" s="48" t="inlineStr">
        <is>
          <t>Denumire</t>
        </is>
      </c>
      <c r="D3" s="48">
        <f>"UM"</f>
        <v/>
      </c>
      <c r="E3" s="48">
        <f>"Consum"</f>
        <v/>
      </c>
      <c r="F3" s="48">
        <f>"Cantitate"</f>
        <v/>
      </c>
      <c r="G3" s="49">
        <f>'Date cladire'!B2</f>
        <v/>
      </c>
      <c r="H3" s="49">
        <f>'Date cladire'!D2</f>
        <v/>
      </c>
      <c r="I3" s="49" t="n"/>
      <c r="J3" s="49" t="n"/>
      <c r="K3" s="49" t="n"/>
      <c r="L3" s="49" t="n"/>
      <c r="M3" s="49" t="n"/>
      <c r="N3" s="49" t="n"/>
      <c r="O3" s="49" t="n"/>
      <c r="P3" s="49" t="n"/>
      <c r="Q3" s="49" t="n"/>
      <c r="R3" s="49" t="n"/>
      <c r="S3" s="49" t="n"/>
    </row>
    <row r="4" ht="67.5" customFormat="1" customHeight="1" s="263">
      <c r="A4" s="12">
        <f>"1"</f>
        <v/>
      </c>
      <c r="B4" s="13" t="inlineStr">
        <is>
          <t>+IZF01L [1]</t>
        </is>
      </c>
      <c r="C4" s="13" t="inlineStr">
        <is>
          <t xml:space="preserve">Sistem termoizolant realizat cu polistiren expandat ignifugat de 10 cm grosime pentru planseu peste subsol (agrementat in Romania cu o durabilitate garantata de min 10 ani), strat finisaj glet </t>
        </is>
      </c>
      <c r="D4" s="87">
        <f>"mp"</f>
        <v/>
      </c>
      <c r="E4" s="210" t="inlineStr">
        <is>
          <t>1.0</t>
        </is>
      </c>
      <c r="F4" s="211">
        <f>E4</f>
        <v/>
      </c>
      <c r="G4" s="52">
        <f>$E$2*'Date cladire'!B23</f>
        <v/>
      </c>
      <c r="H4" s="263">
        <f>$E$2*'Date cladire'!D23</f>
        <v/>
      </c>
    </row>
    <row r="5" ht="40.5" customFormat="1" customHeight="1" s="263">
      <c r="A5" s="12">
        <f>"2"</f>
        <v/>
      </c>
      <c r="B5" s="87">
        <f>"RPCR01A1"</f>
        <v/>
      </c>
      <c r="C5" s="13" t="inlineStr">
        <is>
          <t xml:space="preserve">Zugraveli interioare cu lapte de var la tencuieli si tavane executate pe tencuieli noi, in cantitati...pâna la 250 mp  </t>
        </is>
      </c>
      <c r="D5" s="87">
        <f>"mp"</f>
        <v/>
      </c>
      <c r="E5" s="210" t="inlineStr">
        <is>
          <t>1.0</t>
        </is>
      </c>
      <c r="F5" s="211">
        <f>E5</f>
        <v/>
      </c>
      <c r="G5" s="52">
        <f>G4</f>
        <v/>
      </c>
    </row>
    <row r="6" ht="40.5" customFormat="1" customHeight="1" s="263">
      <c r="A6" s="12">
        <f>"3"</f>
        <v/>
      </c>
      <c r="B6" s="87">
        <f>"TRA02A10"</f>
        <v/>
      </c>
      <c r="C6" s="13" t="inlineStr">
        <is>
          <t xml:space="preserve">Transportul rutier al materialelor,semifabricatelor cu autocamionul pe dist.= ...10 km.  </t>
        </is>
      </c>
      <c r="D6" s="87">
        <f>"tona"</f>
        <v/>
      </c>
      <c r="E6" s="210" t="inlineStr">
        <is>
          <t>1.0</t>
        </is>
      </c>
      <c r="F6" s="211">
        <f>E6</f>
        <v/>
      </c>
      <c r="G6" s="52">
        <f>G4*15/1000</f>
        <v/>
      </c>
    </row>
    <row r="7" ht="40.5" customFormat="1" customHeight="1" s="263">
      <c r="A7" s="12">
        <f>"4"</f>
        <v/>
      </c>
      <c r="B7" s="87">
        <f>"TRI1AC13E1"</f>
        <v/>
      </c>
      <c r="C7" s="13" t="inlineStr">
        <is>
          <t>Descarcare...materiale gr.c-ambalate,10-50 kg deplas.prin purtare pina la 10m,asez..auto-rampa,teren ctg</t>
        </is>
      </c>
      <c r="D7" s="87">
        <f>"tona"</f>
        <v/>
      </c>
      <c r="E7" s="210" t="inlineStr">
        <is>
          <t>1.0</t>
        </is>
      </c>
      <c r="F7" s="211">
        <f>E7</f>
        <v/>
      </c>
      <c r="G7" s="52">
        <f>G6</f>
        <v/>
      </c>
    </row>
  </sheetData>
  <pageMargins left="0.7" right="0.7" top="0.75" bottom="0.75" header="0.511811023622047" footer="0.511811023622047"/>
  <pageSetup orientation="portrait" paperSize="9" horizontalDpi="300" verticalDpi="300"/>
</worksheet>
</file>

<file path=xl/worksheets/sheet15.xml><?xml version="1.0" encoding="utf-8"?>
<worksheet xmlns="http://schemas.openxmlformats.org/spreadsheetml/2006/main">
  <sheetPr>
    <outlinePr summaryBelow="1" summaryRight="1"/>
    <pageSetUpPr/>
  </sheetPr>
  <dimension ref="A1:S7"/>
  <sheetViews>
    <sheetView zoomScaleNormal="100" workbookViewId="0">
      <pane xSplit="1" ySplit="3" topLeftCell="B4" activePane="bottomRight" state="frozen"/>
      <selection pane="topRight" activeCell="B1" sqref="B1"/>
      <selection pane="bottomLeft" activeCell="A4" sqref="A4"/>
      <selection pane="bottomRight" activeCell="G4" sqref="G4"/>
    </sheetView>
  </sheetViews>
  <sheetFormatPr baseColWidth="8" defaultColWidth="9.109375" defaultRowHeight="14.4"/>
  <cols>
    <col width="9" customWidth="1" style="280" min="1" max="1"/>
    <col width="10.88671875" customWidth="1" style="280" min="2" max="2"/>
    <col width="58.6640625" customWidth="1" style="280" min="3" max="3"/>
    <col width="10.88671875" customWidth="1" style="280" min="4" max="6"/>
    <col width="9.109375" customWidth="1" style="280" min="7" max="257"/>
  </cols>
  <sheetData>
    <row r="1" ht="30" customFormat="1" customHeight="1" s="263">
      <c r="B1" s="22">
        <f>'Structura Investitie'!D16</f>
        <v/>
      </c>
      <c r="C1" s="22">
        <f>'Structura Investitie'!C16</f>
        <v/>
      </c>
    </row>
    <row r="2" ht="15.75" customFormat="1" customHeight="1" s="263">
      <c r="D2" s="22">
        <f>'Date cladire'!A83</f>
        <v/>
      </c>
      <c r="E2" s="22">
        <f>'Date cladire'!B83</f>
        <v/>
      </c>
    </row>
    <row r="3" ht="39" customFormat="1" customHeight="1" s="263">
      <c r="A3" s="115">
        <f>"NrCrt"</f>
        <v/>
      </c>
      <c r="B3" s="116">
        <f>"Simbol"</f>
        <v/>
      </c>
      <c r="C3" s="116" t="inlineStr">
        <is>
          <t>Denumire</t>
        </is>
      </c>
      <c r="D3" s="116">
        <f>"UM"</f>
        <v/>
      </c>
      <c r="E3" s="116">
        <f>"Consum"</f>
        <v/>
      </c>
      <c r="F3" s="116">
        <f>"Cantitate"</f>
        <v/>
      </c>
      <c r="G3" s="49">
        <f>'Date cladire'!B2</f>
        <v/>
      </c>
      <c r="H3" s="49">
        <f>'Date cladire'!D2</f>
        <v/>
      </c>
      <c r="I3" s="49" t="n"/>
      <c r="J3" s="49" t="n"/>
      <c r="K3" s="49" t="n"/>
      <c r="L3" s="49" t="n"/>
      <c r="M3" s="49" t="n"/>
      <c r="N3" s="49" t="n"/>
      <c r="O3" s="49" t="n"/>
      <c r="P3" s="49" t="n"/>
      <c r="Q3" s="49" t="n"/>
      <c r="R3" s="49" t="n"/>
      <c r="S3" s="49" t="n"/>
    </row>
    <row r="4" ht="68.25" customHeight="1" s="23">
      <c r="A4" s="117" t="n">
        <v>1</v>
      </c>
      <c r="B4" s="7" t="inlineStr">
        <is>
          <t>IZF35D+ [11]</t>
        </is>
      </c>
      <c r="C4" s="7" t="inlineStr">
        <is>
          <t>Sistem termoizolant realizat cu vata minerala bazaltica de 10 cm grosime la pereti (agrementat in Romania, cu o durabilitate garantata de min 10 ani), strat finisaj interior realizat cu glet si vopsea lavabila</t>
        </is>
      </c>
      <c r="D4" s="7">
        <f>"mp"</f>
        <v/>
      </c>
      <c r="E4" s="214" t="inlineStr">
        <is>
          <t>1.0</t>
        </is>
      </c>
      <c r="F4" s="215">
        <f>E4</f>
        <v/>
      </c>
      <c r="G4" s="77">
        <f>$E$2*20.52</f>
        <v/>
      </c>
      <c r="H4" s="57" t="n"/>
      <c r="I4" s="57" t="n"/>
      <c r="J4" s="57" t="n"/>
      <c r="K4" s="57" t="n"/>
      <c r="L4" s="57" t="n"/>
      <c r="M4" s="57" t="n"/>
      <c r="N4" s="57" t="n"/>
      <c r="O4" s="57" t="n"/>
      <c r="P4" s="57" t="n"/>
      <c r="Q4" s="57" t="n"/>
      <c r="R4" s="57" t="n"/>
      <c r="S4" s="57" t="n"/>
    </row>
    <row r="5" ht="54" customHeight="1" s="23">
      <c r="A5" s="117" t="n">
        <v>2</v>
      </c>
      <c r="B5" s="7" t="inlineStr">
        <is>
          <t>+IZF01O4 [6]</t>
        </is>
      </c>
      <c r="C5" s="7" t="inlineStr">
        <is>
          <t>Sistem termoizolant realizat cu vata minerala bazaltica de 10 cm grosime la tavane (agrementat in Romania cu o durabilitate garantata de min 10 ani), strat finisaj glet si vopsea lavabila</t>
        </is>
      </c>
      <c r="D5" s="7">
        <f>"mp"</f>
        <v/>
      </c>
      <c r="E5" s="214" t="inlineStr">
        <is>
          <t>1.0</t>
        </is>
      </c>
      <c r="F5" s="215">
        <f>E5</f>
        <v/>
      </c>
      <c r="G5" s="77">
        <f>$E$2*12.16</f>
        <v/>
      </c>
      <c r="H5" s="57" t="n"/>
      <c r="I5" s="57" t="n"/>
      <c r="J5" s="57" t="n"/>
      <c r="K5" s="57" t="n"/>
      <c r="L5" s="57" t="n"/>
      <c r="M5" s="57" t="n"/>
      <c r="N5" s="57" t="n"/>
      <c r="O5" s="57" t="n"/>
      <c r="P5" s="57" t="n"/>
      <c r="Q5" s="57" t="n"/>
      <c r="R5" s="57" t="n"/>
      <c r="S5" s="57" t="n"/>
    </row>
    <row r="6" ht="31.95" customHeight="1" s="23">
      <c r="A6" s="117" t="n">
        <v>3</v>
      </c>
      <c r="B6" s="7">
        <f>"TRA02A10"</f>
        <v/>
      </c>
      <c r="C6" s="7" t="inlineStr">
        <is>
          <t xml:space="preserve">Transportul rutier al materialelor,semifabricatelor cu autocamionul pe dist.= ...10 km.  </t>
        </is>
      </c>
      <c r="D6" s="7">
        <f>"tona"</f>
        <v/>
      </c>
      <c r="E6" s="214" t="inlineStr">
        <is>
          <t>1.0</t>
        </is>
      </c>
      <c r="F6" s="215">
        <f>E6</f>
        <v/>
      </c>
      <c r="G6" s="63">
        <f>(G4+G5)*20/1000</f>
        <v/>
      </c>
    </row>
    <row r="7" ht="40.5" customHeight="1" s="23">
      <c r="A7" s="117" t="n">
        <v>4</v>
      </c>
      <c r="B7" s="7">
        <f>"TRI1AC13E1"</f>
        <v/>
      </c>
      <c r="C7" s="7" t="inlineStr">
        <is>
          <t>Descarcare...materiale gr.c-ambalate,10-50 kg deplas.prin purtare pina la 10m,asez..auto-rampa,teren ctg</t>
        </is>
      </c>
      <c r="D7" s="7">
        <f>"tona"</f>
        <v/>
      </c>
      <c r="E7" s="214" t="inlineStr">
        <is>
          <t>1.0</t>
        </is>
      </c>
      <c r="F7" s="215">
        <f>E7</f>
        <v/>
      </c>
      <c r="G7" s="63">
        <f>G6</f>
        <v/>
      </c>
    </row>
  </sheetData>
  <pageMargins left="0.7" right="0.7" top="0.75" bottom="0.75" header="0.511811023622047" footer="0.511811023622047"/>
  <pageSetup orientation="portrait" paperSize="9" horizontalDpi="300" verticalDpi="300"/>
</worksheet>
</file>

<file path=xl/worksheets/sheet16.xml><?xml version="1.0" encoding="utf-8"?>
<worksheet xmlns="http://schemas.openxmlformats.org/spreadsheetml/2006/main">
  <sheetPr>
    <outlinePr summaryBelow="1" summaryRight="1"/>
    <pageSetUpPr/>
  </sheetPr>
  <dimension ref="A1:S8"/>
  <sheetViews>
    <sheetView zoomScaleNormal="100" workbookViewId="0">
      <pane xSplit="1" ySplit="3" topLeftCell="B4" activePane="bottomRight" state="frozen"/>
      <selection pane="topRight" activeCell="B1" sqref="B1"/>
      <selection pane="bottomLeft" activeCell="A4" sqref="A4"/>
      <selection pane="bottomRight" activeCell="G14" sqref="G14"/>
    </sheetView>
  </sheetViews>
  <sheetFormatPr baseColWidth="8" defaultColWidth="9.109375" defaultRowHeight="14.4"/>
  <cols>
    <col width="8.88671875" customWidth="1" style="280" min="1" max="1"/>
    <col width="10.88671875" customWidth="1" style="280" min="2" max="2"/>
    <col width="58.33203125" customWidth="1" style="280" min="3" max="3"/>
    <col width="10.88671875" customWidth="1" style="280" min="4" max="6"/>
    <col width="9.109375" customWidth="1" style="280" min="7" max="257"/>
  </cols>
  <sheetData>
    <row r="1" ht="30" customFormat="1" customHeight="1" s="263">
      <c r="B1" s="22">
        <f>'Structura Investitie'!D18</f>
        <v/>
      </c>
      <c r="C1" s="59">
        <f>'Structura Investitie'!C18</f>
        <v/>
      </c>
    </row>
    <row r="2" ht="15.75" customFormat="1" customHeight="1" s="263">
      <c r="D2" s="22">
        <f>'Date cladire'!A83</f>
        <v/>
      </c>
      <c r="E2" s="22">
        <f>'Date cladire'!B83</f>
        <v/>
      </c>
    </row>
    <row r="3" ht="39" customFormat="1" customHeight="1" s="263">
      <c r="A3" s="48">
        <f>"NrCrt"</f>
        <v/>
      </c>
      <c r="B3" s="48">
        <f>"Simbol"</f>
        <v/>
      </c>
      <c r="C3" s="48" t="inlineStr">
        <is>
          <t>Denumire</t>
        </is>
      </c>
      <c r="D3" s="48">
        <f>"UM"</f>
        <v/>
      </c>
      <c r="E3" s="48">
        <f>"Consum"</f>
        <v/>
      </c>
      <c r="F3" s="48">
        <f>"Cantitate"</f>
        <v/>
      </c>
      <c r="G3" s="49">
        <f>'Date cladire'!B2</f>
        <v/>
      </c>
      <c r="H3" s="49">
        <f>'Date cladire'!D2</f>
        <v/>
      </c>
      <c r="I3" s="49" t="n"/>
      <c r="J3" s="49" t="n"/>
      <c r="K3" s="49" t="n"/>
      <c r="L3" s="49" t="n"/>
      <c r="M3" s="49" t="n"/>
      <c r="N3" s="49" t="n"/>
      <c r="O3" s="49" t="n"/>
      <c r="P3" s="49" t="n"/>
      <c r="Q3" s="49" t="n"/>
      <c r="R3" s="49" t="n"/>
      <c r="S3" s="49" t="n"/>
    </row>
    <row r="4" ht="27" customFormat="1" customHeight="1" s="263">
      <c r="A4" s="12">
        <f>"1"</f>
        <v/>
      </c>
      <c r="B4" s="87">
        <f>"+RPIA02H [4]"</f>
        <v/>
      </c>
      <c r="C4" s="13" t="inlineStr">
        <is>
          <t xml:space="preserve">Executare gol in perete prin carotarea fatadei si montare teava PVC pentru ventilare bucatarii </t>
        </is>
      </c>
      <c r="D4" s="87">
        <f>"buc"</f>
        <v/>
      </c>
      <c r="E4" s="210" t="inlineStr">
        <is>
          <t>1.0</t>
        </is>
      </c>
      <c r="F4" s="211">
        <f>E4</f>
        <v/>
      </c>
      <c r="G4" s="263">
        <f>2*'Date cladire'!B31</f>
        <v/>
      </c>
      <c r="H4">
        <f>2*'Date cladire'!D31</f>
        <v/>
      </c>
    </row>
    <row r="5" ht="67.5" customFormat="1" customHeight="1" s="263">
      <c r="A5" s="12">
        <f>"2"</f>
        <v/>
      </c>
      <c r="B5" s="87">
        <f>"+RPIA02H [5]"</f>
        <v/>
      </c>
      <c r="C5" s="13" t="inlineStr">
        <is>
          <t>Grila de ventilatie cu jaluzele si plasa cu racord FI 110mm 
- 2601285 Grila exterioara cu jaluzele si cu plasa
cu FI racord 110</t>
        </is>
      </c>
      <c r="D5" s="87">
        <f>"buc"</f>
        <v/>
      </c>
      <c r="E5" s="210" t="inlineStr">
        <is>
          <t>1.0</t>
        </is>
      </c>
      <c r="F5" s="211">
        <f>E5</f>
        <v/>
      </c>
      <c r="G5" s="263">
        <f>G4*2</f>
        <v/>
      </c>
    </row>
    <row r="6" ht="54" customFormat="1" customHeight="1" s="263">
      <c r="A6" s="12">
        <f>"3"</f>
        <v/>
      </c>
      <c r="B6" s="19">
        <f>"VB13A1 [3]"</f>
        <v/>
      </c>
      <c r="C6" s="19" t="inlineStr">
        <is>
          <t>Grila de ventilare cu jaluzele fixe si plasa 30x20 pentru aerisire camari sau subsoluri                 - 2601287 Grila ventilare de exterior cu jaluzele si plasa 30x20cm</t>
        </is>
      </c>
      <c r="D6" s="19">
        <f>"buc"</f>
        <v/>
      </c>
      <c r="E6" s="210" t="inlineStr">
        <is>
          <t>1.0</t>
        </is>
      </c>
      <c r="F6" s="211">
        <f>E6</f>
        <v/>
      </c>
      <c r="G6" s="56" t="n">
        <v>10</v>
      </c>
      <c r="H6" s="56" t="n"/>
      <c r="I6" s="56" t="n"/>
      <c r="J6" s="56" t="n"/>
      <c r="K6" s="56" t="n"/>
      <c r="L6" s="56" t="n"/>
      <c r="M6" s="56" t="n"/>
      <c r="N6" s="56" t="n"/>
      <c r="O6" s="56" t="n"/>
      <c r="P6" s="56" t="n"/>
      <c r="Q6" s="56" t="n"/>
      <c r="R6" s="56" t="n"/>
      <c r="S6" s="56" t="n"/>
    </row>
    <row r="7" ht="40.5" customFormat="1" customHeight="1" s="263">
      <c r="A7" s="12" t="n">
        <v>4</v>
      </c>
      <c r="B7" s="87">
        <f>"SB49A3[ 1 ]"</f>
        <v/>
      </c>
      <c r="C7" s="13" t="inlineStr">
        <is>
          <t xml:space="preserve">Caciula de ventilatie din tabla,Montare pe coloane aeris din tub fonta sau gresie antiacida, PVC cu d=110mm  </t>
        </is>
      </c>
      <c r="D7" s="87">
        <f>"buc"</f>
        <v/>
      </c>
      <c r="E7" s="210" t="inlineStr">
        <is>
          <t>1.0</t>
        </is>
      </c>
      <c r="F7" s="211">
        <f>E7</f>
        <v/>
      </c>
      <c r="G7" s="263">
        <f>'Date cladire'!B30</f>
        <v/>
      </c>
      <c r="H7">
        <f>'Date cladire'!D30</f>
        <v/>
      </c>
    </row>
    <row r="8" ht="40.5" customFormat="1" customHeight="1" s="263">
      <c r="A8" s="12" t="n">
        <v>5</v>
      </c>
      <c r="B8" s="87">
        <f>"CD04C1[ 2 ]"</f>
        <v/>
      </c>
      <c r="C8" s="76" t="inlineStr">
        <is>
          <t>Zidarie din caramida presata 240x115x63mm pentru reparatii la gurile de aerisire din poduri
- 2101169 Mortar de zidarie M 25 s 1030</t>
        </is>
      </c>
      <c r="D8" s="87">
        <f>"mc"</f>
        <v/>
      </c>
      <c r="E8" s="210" t="inlineStr">
        <is>
          <t>1.0</t>
        </is>
      </c>
      <c r="F8" s="211">
        <f>E8</f>
        <v/>
      </c>
      <c r="G8" s="52">
        <f>$E$2*0.3*0.4*0.4*'Date cladire'!B30</f>
        <v/>
      </c>
      <c r="H8">
        <f>$E$2*0.3*0.4*0.4*'Date cladire'!D30</f>
        <v/>
      </c>
    </row>
  </sheetData>
  <pageMargins left="0.7" right="0.7" top="0.75" bottom="0.75" header="0.511811023622047" footer="0.511811023622047"/>
  <pageSetup orientation="portrait" paperSize="9" horizontalDpi="300" verticalDpi="300"/>
</worksheet>
</file>

<file path=xl/worksheets/sheet17.xml><?xml version="1.0" encoding="utf-8"?>
<worksheet xmlns="http://schemas.openxmlformats.org/spreadsheetml/2006/main">
  <sheetPr>
    <outlinePr summaryBelow="1" summaryRight="1"/>
    <pageSetUpPr/>
  </sheetPr>
  <dimension ref="A1:R16"/>
  <sheetViews>
    <sheetView zoomScale="85" zoomScaleNormal="85" workbookViewId="0">
      <pane xSplit="1" ySplit="3" topLeftCell="B4" activePane="bottomRight" state="frozen"/>
      <selection pane="topRight" activeCell="B1" sqref="B1"/>
      <selection pane="bottomLeft" activeCell="A4" sqref="A4"/>
      <selection pane="bottomRight" activeCell="H18" sqref="H18"/>
    </sheetView>
  </sheetViews>
  <sheetFormatPr baseColWidth="8" defaultColWidth="9.109375" defaultRowHeight="14.4"/>
  <cols>
    <col width="8.88671875" customWidth="1" style="280" min="1" max="1"/>
    <col width="10.88671875" customWidth="1" style="280" min="2" max="2"/>
    <col width="50.88671875" customWidth="1" style="280" min="3" max="3"/>
    <col width="10.88671875" customWidth="1" style="280" min="4" max="6"/>
    <col width="9.109375" customWidth="1" style="280" min="7" max="12"/>
    <col width="9.109375" customWidth="1" style="118" min="13" max="13"/>
    <col width="29.44140625" customWidth="1" style="280" min="14" max="14"/>
    <col width="9.109375" customWidth="1" style="280" min="15" max="18"/>
    <col width="10.109375" customWidth="1" style="280" min="19" max="19"/>
    <col width="9.109375" customWidth="1" style="280" min="20" max="257"/>
  </cols>
  <sheetData>
    <row r="1" ht="30" customFormat="1" customHeight="1" s="263">
      <c r="B1" s="22">
        <f>'Structura Investitie'!D20</f>
        <v/>
      </c>
      <c r="C1" s="22">
        <f>'Structura Investitie'!C20</f>
        <v/>
      </c>
    </row>
    <row r="2" ht="15" customFormat="1" customHeight="1" s="263">
      <c r="D2" s="22">
        <f>'Date cladire'!A83</f>
        <v/>
      </c>
      <c r="E2" s="22">
        <f>'Date cladire'!B83</f>
        <v/>
      </c>
    </row>
    <row r="3" ht="45" customFormat="1" customHeight="1" s="263">
      <c r="A3" s="48">
        <f>"NrCrt"</f>
        <v/>
      </c>
      <c r="B3" s="48">
        <f>"Simbol"</f>
        <v/>
      </c>
      <c r="C3" s="48" t="inlineStr">
        <is>
          <t>Denumire</t>
        </is>
      </c>
      <c r="D3" s="48">
        <f>"UM"</f>
        <v/>
      </c>
      <c r="E3" s="48">
        <f>"Consum"</f>
        <v/>
      </c>
      <c r="F3" s="48">
        <f>"Cantitate"</f>
        <v/>
      </c>
      <c r="G3" s="49">
        <f>'Date cladire'!B2</f>
        <v/>
      </c>
      <c r="H3" s="224">
        <f>'Date cladire'!D2</f>
        <v/>
      </c>
      <c r="I3" s="224" t="n"/>
      <c r="J3" s="224" t="n"/>
      <c r="K3" s="224" t="n"/>
      <c r="L3" s="224" t="n"/>
      <c r="M3" s="224" t="n"/>
      <c r="N3" s="67" t="inlineStr">
        <is>
          <t>acestea sunt standard pt o scara,  P+4E, Iar pt mai multe scari : x nr sc</t>
        </is>
      </c>
      <c r="O3" s="49" t="n"/>
      <c r="P3" s="49" t="n"/>
      <c r="Q3" s="49" t="n"/>
      <c r="R3" s="49" t="n"/>
    </row>
    <row r="4" ht="67.5" customFormat="1" customHeight="1" s="263">
      <c r="A4" s="12">
        <f>"1"</f>
        <v/>
      </c>
      <c r="B4" s="87">
        <f>"RPCU12E4 [3]"</f>
        <v/>
      </c>
      <c r="C4" s="13" t="inlineStr">
        <is>
          <t>Strapungeri în plansee de beton armat pentru realizarea gaurilor necesare trecerii cablurilor electrice realizate cu masina de gaurit electrica rotopercutoare cu D=35mm</t>
        </is>
      </c>
      <c r="D4" s="87">
        <f>"buc"</f>
        <v/>
      </c>
      <c r="E4" s="210" t="inlineStr">
        <is>
          <t>5.0</t>
        </is>
      </c>
      <c r="F4" s="211" t="n">
        <v>5</v>
      </c>
      <c r="G4" s="224">
        <f>F4</f>
        <v/>
      </c>
      <c r="H4" s="224" t="n"/>
      <c r="I4" s="224" t="n"/>
      <c r="J4" s="224" t="n"/>
      <c r="K4" s="224" t="n"/>
      <c r="L4" s="224" t="n"/>
      <c r="M4" s="224" t="n"/>
      <c r="N4" s="224" t="n"/>
      <c r="O4" s="224" t="n"/>
    </row>
    <row r="5" ht="67.5" customFormat="1" customHeight="1" s="263">
      <c r="A5" s="12">
        <f>"2"</f>
        <v/>
      </c>
      <c r="B5" s="87">
        <f>"RPCU08C1 [1]"</f>
        <v/>
      </c>
      <c r="C5" s="13" t="inlineStr">
        <is>
          <t>Strapungeri in zidarie de caramida ciment pentru realizarea gaurilor necesare trecerii conductelor realizate cu masina de gaurit electrica rotopercutoare cu d=35mm</t>
        </is>
      </c>
      <c r="D5" s="87">
        <f>"buc"</f>
        <v/>
      </c>
      <c r="E5" s="210" t="inlineStr">
        <is>
          <t>3.0</t>
        </is>
      </c>
      <c r="F5" s="211" t="n">
        <v>3</v>
      </c>
      <c r="G5" s="224">
        <f>F5</f>
        <v/>
      </c>
      <c r="H5" s="224" t="n"/>
      <c r="I5" s="224" t="n"/>
      <c r="J5" s="224" t="n"/>
      <c r="K5" s="224" t="n"/>
      <c r="L5" s="224" t="n"/>
      <c r="M5" s="224" t="n"/>
      <c r="N5" s="224" t="n"/>
      <c r="O5" s="224" t="n"/>
    </row>
    <row r="6" ht="54" customFormat="1" customHeight="1" s="263">
      <c r="A6" s="12">
        <f>"3"</f>
        <v/>
      </c>
      <c r="B6" s="87">
        <f>"RPCU20A1 [2]"</f>
        <v/>
      </c>
      <c r="C6" s="13" t="inlineStr">
        <is>
          <t>Astuparea cu mortar de ciment-var... a gaurilor din plansee si etansarea in jurul tubului de protectie la conductele ce trec prin plansee</t>
        </is>
      </c>
      <c r="D6" s="87">
        <f>"buc"</f>
        <v/>
      </c>
      <c r="E6" s="210" t="inlineStr">
        <is>
          <t>5.0</t>
        </is>
      </c>
      <c r="F6" s="211" t="n">
        <v>5</v>
      </c>
      <c r="G6" s="224">
        <f>F6</f>
        <v/>
      </c>
      <c r="H6" s="224" t="n"/>
      <c r="I6" s="224" t="n"/>
      <c r="J6" s="224" t="n"/>
      <c r="K6" s="224" t="n"/>
      <c r="L6" s="224" t="n"/>
      <c r="M6" s="224" t="n"/>
      <c r="N6" s="224" t="n"/>
      <c r="O6" s="224" t="n"/>
    </row>
    <row r="7" ht="40.5" customFormat="1" customHeight="1" s="263">
      <c r="A7" s="12">
        <f>"4"</f>
        <v/>
      </c>
      <c r="B7" s="87">
        <f>"RPCU20A1 [1]"</f>
        <v/>
      </c>
      <c r="C7" s="13" t="inlineStr">
        <is>
          <t>Astuparea cu mortar de ciment-var... a gaurilor din zidarie si etansarea in jurul conductelor ce trec prin pereti</t>
        </is>
      </c>
      <c r="D7" s="87">
        <f>"buc"</f>
        <v/>
      </c>
      <c r="E7" s="210" t="inlineStr">
        <is>
          <t>3.0</t>
        </is>
      </c>
      <c r="F7" s="211" t="n">
        <v>3</v>
      </c>
      <c r="G7" s="224">
        <f>F7</f>
        <v/>
      </c>
      <c r="H7" s="224" t="n"/>
      <c r="I7" s="224" t="n"/>
      <c r="J7" s="224" t="n"/>
      <c r="K7" s="224" t="n"/>
      <c r="L7" s="224" t="n"/>
      <c r="M7" s="224" t="n"/>
      <c r="N7" s="224" t="n"/>
      <c r="O7" s="224" t="n"/>
    </row>
    <row r="8" ht="108" customFormat="1" customHeight="1" s="263">
      <c r="A8" s="12">
        <f>"5"</f>
        <v/>
      </c>
      <c r="B8" s="87">
        <f>"EA15A#"</f>
        <v/>
      </c>
      <c r="C8" s="76" t="inlineStr">
        <is>
          <t xml:space="preserve">Sistem de canaleti sau plinte din...material plastic, montat aparent pe dibluri din pvc cu latimea pana la 30 mm
-  0001480 Canal cablu cu capac 16x16mm pvc
alb 
- 0001481 Sistem de fixare ptr canal cablu
16x16mm (diblu+holsurub) </t>
        </is>
      </c>
      <c r="D8" s="13" t="inlineStr">
        <is>
          <t>m</t>
        </is>
      </c>
      <c r="E8" s="210" t="inlineStr">
        <is>
          <t>35.0</t>
        </is>
      </c>
      <c r="F8" s="211" t="n">
        <v>35</v>
      </c>
      <c r="G8" s="224">
        <f>ROUND($E$2*F8,0)</f>
        <v/>
      </c>
      <c r="H8" s="224" t="n"/>
      <c r="I8" s="224" t="n"/>
      <c r="J8" s="224" t="n"/>
      <c r="K8" s="224" t="n"/>
      <c r="L8" s="224" t="n"/>
      <c r="M8" s="224" t="n"/>
      <c r="N8" s="224" t="n"/>
      <c r="O8" s="224" t="n"/>
    </row>
    <row r="9" ht="117" customFormat="1" customHeight="1" s="263">
      <c r="A9" s="12">
        <f>"6"</f>
        <v/>
      </c>
      <c r="B9" s="76" t="inlineStr">
        <is>
          <t xml:space="preserve">EC03G1 </t>
        </is>
      </c>
      <c r="C9" s="76" t="inlineStr">
        <is>
          <t>Cablu pentru energie electrica, montat
cu scoabe (cleme de prindere) pe
console sau pe pod de cabluri, cablul
având conducte cu sectiunea pîna la
10 mmp, montat pe pod de cabluri
existent sau pe poduri rulante 
 - 0000776 Cablu CYY-F 3x1.5 mmp</t>
        </is>
      </c>
      <c r="D9" s="87">
        <f>"m"</f>
        <v/>
      </c>
      <c r="E9" s="210" t="inlineStr">
        <is>
          <t>40.0</t>
        </is>
      </c>
      <c r="F9" s="211" t="n">
        <v>40</v>
      </c>
      <c r="G9" s="224">
        <f>ROUND($E$2*F9,0)</f>
        <v/>
      </c>
      <c r="H9" s="224" t="n"/>
      <c r="I9" s="224" t="n"/>
      <c r="J9" s="224" t="n"/>
      <c r="K9" s="224" t="n"/>
      <c r="L9" s="224" t="n"/>
      <c r="M9" s="224" t="n"/>
      <c r="N9" s="224" t="inlineStr">
        <is>
          <t>norma schimbata</t>
        </is>
      </c>
      <c r="O9" s="224" t="n"/>
    </row>
    <row r="10" ht="75" customFormat="1" customHeight="1" s="263">
      <c r="A10" s="12">
        <f>"7"</f>
        <v/>
      </c>
      <c r="B10" s="87">
        <f>"EA17B1"</f>
        <v/>
      </c>
      <c r="C10" s="13" t="inlineStr">
        <is>
          <t xml:space="preserve">Doza de ramificatie si tragere, de tip rotund sau patrat, pentru instalatiile de antena colectiva R + TV si ramificatia circuitelor instalatiilor electrice, inglobate in beton tip patrat, RIPS, marimea 29 </t>
        </is>
      </c>
      <c r="D10" s="87">
        <f>"buc"</f>
        <v/>
      </c>
      <c r="E10" s="210" t="inlineStr">
        <is>
          <t>10.0</t>
        </is>
      </c>
      <c r="F10" s="211" t="n">
        <v>10</v>
      </c>
      <c r="G10" s="224">
        <f>F10</f>
        <v/>
      </c>
      <c r="H10" s="224" t="n"/>
      <c r="I10" s="224" t="n"/>
      <c r="J10" s="224" t="n"/>
      <c r="K10" s="224" t="n"/>
      <c r="L10" s="224" t="n"/>
      <c r="M10" s="224" t="n"/>
      <c r="N10" s="224" t="n"/>
      <c r="O10" s="224" t="n"/>
    </row>
    <row r="11" ht="54" customFormat="1" customHeight="1" s="263">
      <c r="A11" s="12">
        <f>"8"</f>
        <v/>
      </c>
      <c r="B11" s="76">
        <f>"EF06A1 [2]"</f>
        <v/>
      </c>
      <c r="C11" s="76" t="inlineStr">
        <is>
          <t xml:space="preserve">Montare siguranta automata bipolara diferentiala 10A in tablou electric
 - 0000993 Siguranta automata diferentiala 10A,30mA </t>
        </is>
      </c>
      <c r="D11" s="87">
        <f>"buc"</f>
        <v/>
      </c>
      <c r="E11" s="210" t="inlineStr">
        <is>
          <t>1.0</t>
        </is>
      </c>
      <c r="F11" s="211" t="n">
        <v>1</v>
      </c>
      <c r="G11" s="224">
        <f>F11</f>
        <v/>
      </c>
      <c r="H11" s="224" t="n"/>
      <c r="I11" s="224" t="n"/>
      <c r="J11" s="224" t="n"/>
      <c r="K11" s="224" t="n"/>
      <c r="L11" s="224" t="n"/>
      <c r="M11" s="224" t="n"/>
      <c r="N11" s="224" t="n"/>
      <c r="O11" s="224" t="n"/>
    </row>
    <row r="12" ht="54" customFormat="1" customHeight="1" s="263">
      <c r="A12" s="12">
        <f>"9"</f>
        <v/>
      </c>
      <c r="B12" s="87">
        <f>"EF08A1"</f>
        <v/>
      </c>
      <c r="C12" s="13" t="inlineStr">
        <is>
          <t xml:space="preserve">Racordarea conductelor din aluminiu, la borne (aparate, motoare, tablouri electrice), conducta având sectiunea de...pîna la 10 mmp (exclusiv) </t>
        </is>
      </c>
      <c r="D12" s="87">
        <f>"buc"</f>
        <v/>
      </c>
      <c r="E12" s="210" t="inlineStr">
        <is>
          <t>20.0</t>
        </is>
      </c>
      <c r="F12" s="211" t="n">
        <v>20</v>
      </c>
      <c r="G12" s="224">
        <f>F12</f>
        <v/>
      </c>
      <c r="H12" s="224" t="n"/>
      <c r="I12" s="224" t="n"/>
      <c r="J12" s="224" t="n"/>
      <c r="K12" s="224" t="n"/>
      <c r="L12" s="224" t="n"/>
      <c r="M12" s="224" t="n"/>
      <c r="N12" s="224" t="n"/>
      <c r="O12" s="224" t="n"/>
    </row>
    <row r="13" ht="27" customFormat="1" customHeight="1" s="263">
      <c r="A13" s="12">
        <f>"10"</f>
        <v/>
      </c>
      <c r="B13" s="87">
        <f>"EH01A1"</f>
        <v/>
      </c>
      <c r="C13" s="13" t="inlineStr">
        <is>
          <t xml:space="preserve">Încercarea cablurilor de energie electrica,...de maximum 1 kV </t>
        </is>
      </c>
      <c r="D13" s="87">
        <f>"buc"</f>
        <v/>
      </c>
      <c r="E13" s="210" t="inlineStr">
        <is>
          <t>5.0</t>
        </is>
      </c>
      <c r="F13" s="211" t="n">
        <v>5</v>
      </c>
      <c r="G13" s="224">
        <f>F13</f>
        <v/>
      </c>
      <c r="H13" s="224" t="n"/>
      <c r="I13" s="224" t="n"/>
      <c r="J13" s="224" t="n"/>
      <c r="K13" s="224" t="n"/>
      <c r="L13" s="224" t="n"/>
      <c r="M13" s="224" t="n"/>
      <c r="N13" s="224" t="n"/>
      <c r="O13" s="224" t="n"/>
    </row>
    <row r="14" ht="40.5" customFormat="1" customHeight="1" s="263">
      <c r="A14" s="12">
        <f>"11"</f>
        <v/>
      </c>
      <c r="B14" s="87">
        <f>"TRA02A10"</f>
        <v/>
      </c>
      <c r="C14" s="13" t="inlineStr">
        <is>
          <t xml:space="preserve">Transportul rutier al materialelor,semifabricatelor cu autocamionul pe dist.= ...10 km.  </t>
        </is>
      </c>
      <c r="D14" s="87">
        <f>"tona"</f>
        <v/>
      </c>
      <c r="E14" s="210" t="inlineStr">
        <is>
          <t>0.5</t>
        </is>
      </c>
      <c r="F14" s="211" t="n">
        <v>0.5</v>
      </c>
      <c r="G14" s="224">
        <f>F14</f>
        <v/>
      </c>
      <c r="H14" s="224" t="n"/>
      <c r="I14" s="224" t="n"/>
      <c r="J14" s="224" t="n"/>
      <c r="K14" s="224" t="n"/>
      <c r="L14" s="224" t="n"/>
      <c r="M14" s="224" t="n"/>
      <c r="N14" s="224" t="n"/>
      <c r="O14" s="224" t="n"/>
    </row>
    <row r="15" ht="40.5" customFormat="1" customHeight="1" s="263">
      <c r="A15" s="12">
        <f>"12"</f>
        <v/>
      </c>
      <c r="B15" s="87">
        <f>"TRI1AC13E1"</f>
        <v/>
      </c>
      <c r="C15" s="13" t="inlineStr">
        <is>
          <t>Descarcare...materiale gr.c-ambalate,10-50 kg deplas.prin purtare pina la 10m, asez..auto-rampa,teren ctg</t>
        </is>
      </c>
      <c r="D15" s="87">
        <f>"tona"</f>
        <v/>
      </c>
      <c r="E15" s="210" t="inlineStr">
        <is>
          <t>0.5</t>
        </is>
      </c>
      <c r="F15" s="211" t="n">
        <v>0.5</v>
      </c>
      <c r="G15" s="224">
        <f>F15</f>
        <v/>
      </c>
      <c r="H15" s="224" t="n"/>
      <c r="I15" s="224" t="n"/>
      <c r="J15" s="224" t="n"/>
      <c r="K15" s="224" t="n"/>
      <c r="L15" s="224" t="n"/>
      <c r="M15" s="224" t="n"/>
      <c r="N15" s="224" t="n"/>
      <c r="O15" s="224" t="n"/>
    </row>
    <row r="16" ht="15" customFormat="1" customHeight="1" s="263">
      <c r="M16" s="119" t="n"/>
    </row>
  </sheetData>
  <pageMargins left="0.7" right="0.7" top="0.75" bottom="0.75" header="0.511811023622047" footer="0.511811023622047"/>
  <pageSetup orientation="portrait" paperSize="9" horizontalDpi="300" verticalDpi="300"/>
</worksheet>
</file>

<file path=xl/worksheets/sheet18.xml><?xml version="1.0" encoding="utf-8"?>
<worksheet xmlns="http://schemas.openxmlformats.org/spreadsheetml/2006/main">
  <sheetPr>
    <outlinePr summaryBelow="1" summaryRight="1"/>
    <pageSetUpPr/>
  </sheetPr>
  <dimension ref="A1:R14"/>
  <sheetViews>
    <sheetView zoomScaleNormal="100" workbookViewId="0">
      <pane xSplit="1" ySplit="3" topLeftCell="B6" activePane="bottomRight" state="frozen"/>
      <selection pane="topRight" activeCell="B1" sqref="B1"/>
      <selection pane="bottomLeft" activeCell="A4" sqref="A4"/>
      <selection pane="bottomRight" activeCell="G7" sqref="G7"/>
    </sheetView>
  </sheetViews>
  <sheetFormatPr baseColWidth="8" defaultColWidth="9.109375" defaultRowHeight="14.4"/>
  <cols>
    <col width="5.33203125" customWidth="1" style="280" min="1" max="1"/>
    <col width="10.88671875" customWidth="1" style="280" min="2" max="2"/>
    <col width="50.88671875" customWidth="1" style="280" min="3" max="3"/>
    <col width="10.88671875" customWidth="1" style="280" min="4" max="6"/>
    <col width="9.109375" customWidth="1" style="280" min="7" max="257"/>
  </cols>
  <sheetData>
    <row r="1" ht="15" customFormat="1" customHeight="1" s="263">
      <c r="B1" s="22">
        <f>'Structura Investitie'!D21</f>
        <v/>
      </c>
      <c r="C1" s="22">
        <f>'Structura Investitie'!C21</f>
        <v/>
      </c>
    </row>
    <row r="2" ht="15" customFormat="1" customHeight="1" s="263"/>
    <row r="3" ht="56.25" customFormat="1" customHeight="1" s="263">
      <c r="A3" s="120">
        <f>"NrCrt"</f>
        <v/>
      </c>
      <c r="B3" s="121">
        <f>"Simbol"</f>
        <v/>
      </c>
      <c r="C3" s="48" t="inlineStr">
        <is>
          <t>Denumire</t>
        </is>
      </c>
      <c r="D3" s="48">
        <f>"UM"</f>
        <v/>
      </c>
      <c r="E3" s="48">
        <f>"Consum"</f>
        <v/>
      </c>
      <c r="F3" s="48">
        <f>"Cantitate"</f>
        <v/>
      </c>
      <c r="G3" s="49">
        <f>'Date cladire'!B2</f>
        <v/>
      </c>
      <c r="H3" s="224">
        <f>'Date cladire'!D2</f>
        <v/>
      </c>
      <c r="N3" s="224" t="n"/>
    </row>
    <row r="4" ht="32.4" customFormat="1" customHeight="1" s="263">
      <c r="A4" s="67">
        <f>"2"</f>
        <v/>
      </c>
      <c r="B4" s="122">
        <f>"RPEF19E1 [1]"</f>
        <v/>
      </c>
      <c r="C4" s="13" t="inlineStr">
        <is>
          <t>Demontare corp iluminat</t>
        </is>
      </c>
      <c r="D4" s="87">
        <f>"buc"</f>
        <v/>
      </c>
      <c r="E4" s="210" t="n">
        <v>6</v>
      </c>
      <c r="F4" s="211">
        <f>E4</f>
        <v/>
      </c>
      <c r="G4" s="210">
        <f>F4</f>
        <v/>
      </c>
      <c r="H4" s="224" t="n"/>
      <c r="N4" s="224" t="n"/>
    </row>
    <row r="5" ht="81" customFormat="1" customHeight="1" s="263">
      <c r="A5" s="67">
        <f>"3"</f>
        <v/>
      </c>
      <c r="B5" s="122">
        <f>"EE05C1 [2]"</f>
        <v/>
      </c>
      <c r="C5" s="13" t="inlineStr">
        <is>
          <t>Corp de iluminat tip aplica echipat cu surse LED montat pe tavan sau perete, pe dibluri din material plastic - 
 0002716 - Corp de iluminat pentru interior cu LED P=16W senzor de miscare si autonomie 3h</t>
        </is>
      </c>
      <c r="D5" s="87">
        <f>"buc"</f>
        <v/>
      </c>
      <c r="E5" s="210" t="n">
        <v>5</v>
      </c>
      <c r="F5" s="211">
        <f>E5</f>
        <v/>
      </c>
      <c r="G5" s="210">
        <f>F5</f>
        <v/>
      </c>
      <c r="H5" s="224" t="n"/>
      <c r="N5" s="224" t="n"/>
    </row>
    <row r="6" ht="81" customFormat="1" customHeight="1" s="263">
      <c r="A6" s="67">
        <f>"4"</f>
        <v/>
      </c>
      <c r="B6" s="122">
        <f>"EE05C1 [2]"</f>
        <v/>
      </c>
      <c r="C6" s="13" t="inlineStr">
        <is>
          <t>Corp de iluminat tip aplica echipat cu surse LED montat pe tavan sau perete, pe dibluri din material plastic - 
 0002717 - Corp de iluminat pentru interior cu LED P=15W senzor de miscare (la subsol, depozie, uscator)</t>
        </is>
      </c>
      <c r="D6" s="87">
        <f>"buc"</f>
        <v/>
      </c>
      <c r="E6" s="210" t="n">
        <v>0</v>
      </c>
      <c r="F6" s="211">
        <f>E6</f>
        <v/>
      </c>
      <c r="G6" s="210">
        <f>F6</f>
        <v/>
      </c>
      <c r="H6" s="224" t="n"/>
      <c r="N6" s="224" t="n"/>
    </row>
    <row r="7" ht="85.2" customFormat="1" customHeight="1" s="263">
      <c r="A7" s="67">
        <f>"5"</f>
        <v/>
      </c>
      <c r="B7" s="122">
        <f>"EE05C1 [2]"</f>
        <v/>
      </c>
      <c r="C7" s="13" t="inlineStr">
        <is>
          <t>Corp de iluminat tip aplica echipat cu surse LED montat pe tavan sau perete, pe dibluri din material plastic 
 - 0002718 Corp de iluminat pentru exterior cu LED P=20W senzor de miscare si autonomie 3h</t>
        </is>
      </c>
      <c r="D7" s="87">
        <f>"buc"</f>
        <v/>
      </c>
      <c r="E7" s="210" t="inlineStr">
        <is>
          <t>1.0</t>
        </is>
      </c>
      <c r="F7" s="211" t="n">
        <v>1</v>
      </c>
      <c r="G7" s="210">
        <f>F7</f>
        <v/>
      </c>
    </row>
    <row r="8" ht="99" customFormat="1" customHeight="1" s="263">
      <c r="A8" s="67">
        <f>"6"</f>
        <v/>
      </c>
      <c r="B8" s="122">
        <f>"EE10K1 [1]"</f>
        <v/>
      </c>
      <c r="C8" s="13" t="inlineStr">
        <is>
          <t>Corpuri de iluminat speciale monobloc pentru iluminatul de siguranta la întreruperea curentului din retea, complet cu accesorii si becuri, cu acumulator, montat pe dibluri  -
 0002719 -Bloc autonom pentru iluminat de siguranta de evacuare LED 4 W cu autonomie 3h"</t>
        </is>
      </c>
      <c r="D8" s="87">
        <f>"buc"</f>
        <v/>
      </c>
      <c r="E8" s="210" t="n">
        <v>9</v>
      </c>
      <c r="F8" s="211">
        <f>E8</f>
        <v/>
      </c>
      <c r="G8" s="210">
        <f>F8</f>
        <v/>
      </c>
    </row>
    <row r="9" ht="40.5" customFormat="1" customHeight="1" s="263">
      <c r="A9" s="67">
        <f>"7"</f>
        <v/>
      </c>
      <c r="B9" s="122">
        <f>"TRA02A10"</f>
        <v/>
      </c>
      <c r="C9" s="13" t="inlineStr">
        <is>
          <t xml:space="preserve">Transportul rutier al materialelor,semifabricatelor cu autocamionul pe dist.= ...10 km.  </t>
        </is>
      </c>
      <c r="D9" s="87">
        <f>"tona"</f>
        <v/>
      </c>
      <c r="E9" s="210" t="inlineStr">
        <is>
          <t>1.0</t>
        </is>
      </c>
      <c r="F9" s="211" t="n">
        <v>1</v>
      </c>
      <c r="G9" s="210" t="n">
        <v>0.3</v>
      </c>
      <c r="H9" s="224" t="n"/>
    </row>
    <row r="10" ht="40.5" customFormat="1" customHeight="1" s="263">
      <c r="A10" s="67">
        <f>"8"</f>
        <v/>
      </c>
      <c r="B10" s="122">
        <f>"TRI1AC13E1"</f>
        <v/>
      </c>
      <c r="C10" s="13" t="inlineStr">
        <is>
          <t>Descarcare...materiale gr.c-ambalate,10-50 kg deplas.prin purtare pina la 10m, asez..auto-rampa,teren ctg</t>
        </is>
      </c>
      <c r="D10" s="87">
        <f>"tona"</f>
        <v/>
      </c>
      <c r="E10" s="210" t="inlineStr">
        <is>
          <t>1.0</t>
        </is>
      </c>
      <c r="F10" s="211" t="n">
        <v>1</v>
      </c>
      <c r="G10" s="210" t="n">
        <v>0.3</v>
      </c>
      <c r="H10" s="224" t="n"/>
      <c r="N10" s="280" t="n"/>
      <c r="O10" s="280" t="n"/>
      <c r="P10" s="280" t="n"/>
      <c r="Q10" s="280" t="n"/>
      <c r="R10" s="280" t="n"/>
    </row>
    <row r="11" ht="15" customHeight="1" s="23">
      <c r="H11" s="224" t="n"/>
      <c r="I11" s="263" t="n"/>
      <c r="J11" s="263" t="n"/>
      <c r="K11" s="263" t="n"/>
      <c r="L11" s="263" t="n"/>
      <c r="M11" s="263" t="n"/>
    </row>
    <row r="12" ht="15" customHeight="1" s="23">
      <c r="H12" s="224" t="n"/>
      <c r="I12" s="263" t="n"/>
      <c r="J12" s="263" t="n"/>
      <c r="K12" s="263" t="n"/>
      <c r="L12" s="263" t="n"/>
      <c r="M12" s="263" t="n"/>
    </row>
    <row r="13" ht="15" customHeight="1" s="23">
      <c r="H13" s="263" t="n"/>
      <c r="I13" s="263" t="n"/>
      <c r="J13" s="263" t="n"/>
      <c r="K13" s="263" t="n"/>
      <c r="L13" s="263" t="n"/>
      <c r="M13" s="263" t="n"/>
    </row>
    <row r="14" ht="15" customHeight="1" s="23">
      <c r="H14" s="263" t="n"/>
      <c r="I14" s="263" t="n"/>
      <c r="J14" s="263" t="n"/>
      <c r="K14" s="263" t="n"/>
      <c r="L14" s="263" t="n"/>
      <c r="M14" s="263" t="n"/>
    </row>
  </sheetData>
  <pageMargins left="0.7" right="0.7" top="0.75" bottom="0.75" header="0.511811023622047" footer="0.511811023622047"/>
  <pageSetup orientation="portrait" paperSize="9" horizontalDpi="300" verticalDpi="300"/>
</worksheet>
</file>

<file path=xl/worksheets/sheet19.xml><?xml version="1.0" encoding="utf-8"?>
<worksheet xmlns="http://schemas.openxmlformats.org/spreadsheetml/2006/main">
  <sheetPr>
    <outlinePr summaryBelow="1" summaryRight="1"/>
    <pageSetUpPr/>
  </sheetPr>
  <dimension ref="A1:W15"/>
  <sheetViews>
    <sheetView zoomScaleNormal="100" workbookViewId="0">
      <pane xSplit="1" ySplit="3" topLeftCell="B4" activePane="bottomRight" state="frozen"/>
      <selection pane="topRight" activeCell="B1" sqref="B1"/>
      <selection pane="bottomLeft" activeCell="A4" sqref="A4"/>
      <selection pane="bottomRight" activeCell="M9" sqref="M9"/>
    </sheetView>
  </sheetViews>
  <sheetFormatPr baseColWidth="8" defaultColWidth="9.109375" defaultRowHeight="14.4"/>
  <cols>
    <col width="8.88671875" customWidth="1" style="280" min="1" max="1"/>
    <col width="10.88671875" customWidth="1" style="280" min="2" max="2"/>
    <col width="50.88671875" customWidth="1" style="280" min="3" max="3"/>
    <col width="10.88671875" customWidth="1" style="280" min="4" max="6"/>
    <col width="9.109375" customWidth="1" style="280" min="7" max="12"/>
    <col width="18.6640625" customWidth="1" style="280" min="13" max="13"/>
    <col width="9.109375" customWidth="1" style="280" min="14" max="19"/>
    <col hidden="1" width="32.44140625" customWidth="1" style="280" min="20" max="20"/>
    <col width="9.109375" customWidth="1" style="280" min="21" max="257"/>
  </cols>
  <sheetData>
    <row r="1" ht="15" customFormat="1" customHeight="1" s="263">
      <c r="B1" s="22">
        <f>'Structura Investitie'!D23</f>
        <v/>
      </c>
      <c r="C1" s="22">
        <f>'Structura Investitie'!C23</f>
        <v/>
      </c>
    </row>
    <row r="2" ht="15.75" customFormat="1" customHeight="1" s="263">
      <c r="D2" s="22">
        <f>'Date cladire'!A83</f>
        <v/>
      </c>
      <c r="E2" s="22">
        <f>'Date cladire'!B83</f>
        <v/>
      </c>
    </row>
    <row r="3" ht="39" customFormat="1" customHeight="1" s="263">
      <c r="A3" s="47">
        <f>"NrCrt"</f>
        <v/>
      </c>
      <c r="B3" s="48">
        <f>"Simbol"</f>
        <v/>
      </c>
      <c r="C3" s="48" t="inlineStr">
        <is>
          <t>Denumire</t>
        </is>
      </c>
      <c r="D3" s="48">
        <f>"UM"</f>
        <v/>
      </c>
      <c r="E3" s="48">
        <f>"Consum"</f>
        <v/>
      </c>
      <c r="F3" s="48">
        <f>"Cantitate"</f>
        <v/>
      </c>
      <c r="G3" s="49">
        <f>'Date cladire'!B2</f>
        <v/>
      </c>
      <c r="H3">
        <f>'Date cladire'!D2</f>
        <v/>
      </c>
    </row>
    <row r="4" ht="52.2" customFormat="1" customHeight="1" s="263">
      <c r="A4" s="123" t="n">
        <v>1</v>
      </c>
      <c r="B4" s="87">
        <f>"RPCU12E4 [3]"</f>
        <v/>
      </c>
      <c r="C4" s="13" t="inlineStr">
        <is>
          <t>Strapungeri în plansee de beton armat pentru realizarea gaurilor necesare trecerii cablurilor electrice realizate cu masina de gaurit electrica rotopercutoare cu D=35mm</t>
        </is>
      </c>
      <c r="D4" s="87">
        <f>"buc"</f>
        <v/>
      </c>
      <c r="E4" s="210" t="inlineStr">
        <is>
          <t>5.0</t>
        </is>
      </c>
      <c r="F4" s="211" t="n">
        <v>5</v>
      </c>
      <c r="G4" s="210">
        <f>E4</f>
        <v/>
      </c>
    </row>
    <row r="5" ht="54" customFormat="1" customHeight="1" s="263">
      <c r="A5" s="123" t="n">
        <v>2</v>
      </c>
      <c r="B5" s="87">
        <f>"RPCU20A1 [2]"</f>
        <v/>
      </c>
      <c r="C5" s="13" t="inlineStr">
        <is>
          <t>Astuparea cu mortar de ciment-var... a gaurilor din plansee si etansarea in jurul tubului de protectie la conductele ce trec prin plansee</t>
        </is>
      </c>
      <c r="D5" s="87">
        <f>"buc"</f>
        <v/>
      </c>
      <c r="E5" s="124" t="inlineStr">
        <is>
          <t>5.0</t>
        </is>
      </c>
      <c r="F5" s="211" t="n">
        <v>5</v>
      </c>
      <c r="G5" s="210">
        <f>E5</f>
        <v/>
      </c>
    </row>
    <row r="6" ht="121.5" customFormat="1" customHeight="1" s="263">
      <c r="A6" s="123" t="n">
        <v>3</v>
      </c>
      <c r="B6" s="87">
        <f>"EA15A#"</f>
        <v/>
      </c>
      <c r="C6" s="76" t="inlineStr">
        <is>
          <t>Sistem de canaleti sau plinte din...material plastic, montat aparent pe dibluri din pvc cu latimea pana la 30 mm
 - 0001480 Canal cablu cu capac 16x16mm pvc
alb 
 - 0001481  Sistem de fixare ptr canal cablu
16x16mm (diblu+holsurub)</t>
        </is>
      </c>
      <c r="D6" s="87">
        <f>"m"</f>
        <v/>
      </c>
      <c r="E6" s="125">
        <f>E7+E8</f>
        <v/>
      </c>
      <c r="F6" s="211" t="n">
        <v>30</v>
      </c>
      <c r="G6" s="210">
        <f>ROUND($E$2*E6,0)</f>
        <v/>
      </c>
    </row>
    <row r="7" ht="88.2" customFormat="1" customHeight="1" s="263">
      <c r="A7" s="123" t="n">
        <v>4</v>
      </c>
      <c r="B7" s="87">
        <f>"EC05A1"</f>
        <v/>
      </c>
      <c r="C7" s="76" t="inlineStr">
        <is>
          <t xml:space="preserve">Cablu pentru energie electrica, tras prin tub de protectie, pentru racordare la inotoare, tablouri, aparate etc, cablul având conducte cu sectiunea...pîna la 16 mmp  cyy 3x1,5 mmp
- 4801892  Cablu energie cyy 0,6/ 1 KV 3x 1,5
U s.8778 </t>
        </is>
      </c>
      <c r="D7" s="87">
        <f>"m"</f>
        <v/>
      </c>
      <c r="E7" s="124" t="n">
        <v>30</v>
      </c>
      <c r="F7" s="211" t="n">
        <v>30</v>
      </c>
      <c r="G7" s="210">
        <f>ROUND($E$2*F7,0)</f>
        <v/>
      </c>
      <c r="T7" s="214" t="inlineStr">
        <is>
          <t>de la nivelul parter pana la ultimul etaj + 10 m prox</t>
        </is>
      </c>
    </row>
    <row r="8" ht="94.5" customFormat="1" customHeight="1" s="263">
      <c r="A8" s="123" t="n">
        <v>5</v>
      </c>
      <c r="B8" s="87">
        <f>"EC05A1"</f>
        <v/>
      </c>
      <c r="C8" s="13" t="inlineStr">
        <is>
          <t xml:space="preserve">Cablu pentru energie electrica, tras prin tub de protectie, pentru racordare la motoare tablouri, aparate etc, cablul având conducte cu sectiunea pîna la 16 mmp cyy 2x 6 mmp
- 4801866 Cablu energie cyy 0,6/ 1 KV 2x 6
U s.8778 </t>
        </is>
      </c>
      <c r="D8" s="87">
        <f>"m"</f>
        <v/>
      </c>
      <c r="E8" s="210" t="n">
        <v>15</v>
      </c>
      <c r="F8" s="211" t="n">
        <v>15</v>
      </c>
      <c r="G8" s="210">
        <f>ROUND($E$2*F8,0)</f>
        <v/>
      </c>
      <c r="T8" s="214" t="inlineStr">
        <is>
          <t xml:space="preserve">al doilea de 2x6 mm - de la ultimul etaj la coama acoperisului + 5-10 m
</t>
        </is>
      </c>
    </row>
    <row r="9" ht="54" customFormat="1" customHeight="1" s="263">
      <c r="A9" s="123" t="n">
        <v>6</v>
      </c>
      <c r="B9" s="87">
        <f>"EF08A1"</f>
        <v/>
      </c>
      <c r="C9" s="13" t="inlineStr">
        <is>
          <t xml:space="preserve">Racordarea conductelor din aluminiu, la borne (aparate, motoare, tablouri electrice), conducta având sectiunea de...pîna la 10 mmp (exclusiv) </t>
        </is>
      </c>
      <c r="D9" s="87">
        <f>"buc"</f>
        <v/>
      </c>
      <c r="E9" s="210" t="inlineStr">
        <is>
          <t>5.0</t>
        </is>
      </c>
      <c r="F9" s="211" t="n">
        <v>5</v>
      </c>
      <c r="G9" s="210">
        <f>E9</f>
        <v/>
      </c>
    </row>
    <row r="10" ht="27" customFormat="1" customHeight="1" s="263">
      <c r="A10" s="123" t="n">
        <v>7</v>
      </c>
      <c r="B10" s="87">
        <f>"EH01A1"</f>
        <v/>
      </c>
      <c r="C10" s="13" t="inlineStr">
        <is>
          <t xml:space="preserve">Încercarea cablurilor de energie electrica,...de maximum 1 kV </t>
        </is>
      </c>
      <c r="D10" s="87">
        <f>"buc"</f>
        <v/>
      </c>
      <c r="E10" s="210" t="inlineStr">
        <is>
          <t>4.0</t>
        </is>
      </c>
      <c r="F10" s="211" t="n">
        <v>4</v>
      </c>
      <c r="G10" s="210">
        <f>E10</f>
        <v/>
      </c>
    </row>
    <row r="11" ht="15" customHeight="1" s="23">
      <c r="A11" s="126" t="n"/>
      <c r="I11" s="263" t="n"/>
      <c r="J11" s="263" t="n"/>
      <c r="K11" s="263" t="n"/>
      <c r="L11" s="263" t="n"/>
      <c r="M11" s="263" t="n"/>
      <c r="N11" s="263" t="n"/>
      <c r="O11" s="263" t="n"/>
      <c r="P11" s="263" t="n"/>
      <c r="Q11" s="263" t="n"/>
      <c r="R11" s="263" t="n"/>
      <c r="S11" s="263" t="n"/>
      <c r="T11" s="263" t="n"/>
      <c r="U11" s="263" t="n"/>
      <c r="V11" s="263" t="n"/>
      <c r="W11" s="263" t="n"/>
    </row>
    <row r="12" ht="15" customHeight="1" s="23">
      <c r="I12" s="263" t="n"/>
      <c r="J12" s="263" t="n"/>
      <c r="K12" s="263" t="n"/>
      <c r="L12" s="263" t="n"/>
      <c r="M12" s="263" t="n"/>
      <c r="N12" s="263" t="n"/>
      <c r="O12" s="263" t="n"/>
      <c r="P12" s="263" t="n"/>
      <c r="Q12" s="263" t="n"/>
      <c r="R12" s="263" t="n"/>
      <c r="S12" s="263" t="n"/>
      <c r="T12" s="263" t="n"/>
      <c r="U12" s="263" t="n"/>
      <c r="V12" s="263" t="n"/>
      <c r="W12" s="263" t="n"/>
    </row>
    <row r="13" ht="15" customHeight="1" s="23">
      <c r="I13" s="263" t="n"/>
      <c r="J13" s="263" t="n"/>
      <c r="K13" s="263" t="n"/>
      <c r="L13" s="263" t="n"/>
      <c r="N13" s="263" t="n"/>
      <c r="O13" s="263" t="n"/>
      <c r="P13" s="263" t="n"/>
      <c r="Q13" s="263" t="n"/>
      <c r="R13" s="263" t="n"/>
      <c r="S13" s="263" t="n"/>
      <c r="T13" s="263" t="n"/>
      <c r="U13" s="263" t="n"/>
      <c r="V13" s="263" t="n"/>
      <c r="W13" s="263" t="n"/>
    </row>
    <row r="14" ht="15" customHeight="1" s="23">
      <c r="I14" s="263" t="n"/>
      <c r="J14" s="263" t="n"/>
      <c r="K14" s="263" t="n"/>
      <c r="L14" s="263" t="n"/>
      <c r="N14" s="263" t="n"/>
      <c r="O14" s="263" t="n"/>
      <c r="P14" s="263" t="n"/>
      <c r="Q14" s="263" t="n"/>
      <c r="R14" s="263" t="n"/>
      <c r="S14" s="263" t="n"/>
      <c r="T14" s="263" t="n"/>
      <c r="U14" s="263" t="n"/>
      <c r="V14" s="263" t="n"/>
      <c r="W14" s="263" t="n"/>
    </row>
    <row r="15" ht="15" customHeight="1" s="23">
      <c r="I15" s="263" t="n"/>
      <c r="J15" s="263" t="n"/>
      <c r="K15" s="263" t="n"/>
      <c r="L15" s="263" t="n"/>
      <c r="N15" s="263" t="n"/>
      <c r="O15" s="263" t="n"/>
      <c r="P15" s="263" t="n"/>
    </row>
  </sheetData>
  <pageMargins left="0.7" right="0.7" top="0.75" bottom="0.75" header="0.511811023622047" footer="0.511811023622047"/>
  <pageSetup orientation="portrait" paperSize="9" horizontalDpi="300" verticalDpi="300"/>
</worksheet>
</file>

<file path=xl/worksheets/sheet20.xml><?xml version="1.0" encoding="utf-8"?>
<worksheet xmlns="http://schemas.openxmlformats.org/spreadsheetml/2006/main">
  <sheetPr>
    <outlinePr summaryBelow="1" summaryRight="1"/>
    <pageSetUpPr/>
  </sheetPr>
  <dimension ref="A1:S5"/>
  <sheetViews>
    <sheetView zoomScaleNormal="100" workbookViewId="0">
      <pane xSplit="1" ySplit="3" topLeftCell="B4" activePane="bottomRight" state="frozen"/>
      <selection pane="topRight" activeCell="B1" sqref="B1"/>
      <selection pane="bottomLeft" activeCell="A4" sqref="A4"/>
      <selection pane="bottomRight" activeCell="G13" sqref="G13"/>
    </sheetView>
  </sheetViews>
  <sheetFormatPr baseColWidth="8" defaultColWidth="9.109375" defaultRowHeight="14.4"/>
  <cols>
    <col width="8.88671875" customWidth="1" style="280" min="1" max="1"/>
    <col width="10.88671875" customWidth="1" style="280" min="2" max="2"/>
    <col width="50.88671875" customWidth="1" style="280" min="3" max="3"/>
    <col width="10.88671875" customWidth="1" style="280" min="4" max="5"/>
    <col width="15" customWidth="1" style="280" min="6" max="6"/>
    <col width="9.109375" customWidth="1" style="280" min="7" max="257"/>
  </cols>
  <sheetData>
    <row r="1" ht="15" customFormat="1" customHeight="1" s="263">
      <c r="B1" s="22">
        <f>'Structura Investitie'!D24</f>
        <v/>
      </c>
      <c r="C1" s="22">
        <f>'Structura Investitie'!C24</f>
        <v/>
      </c>
    </row>
    <row r="2" ht="15" customFormat="1" customHeight="1" s="263"/>
    <row r="3" ht="28.95" customFormat="1" customHeight="1" s="263">
      <c r="A3" s="48">
        <f>"NrCrt"</f>
        <v/>
      </c>
      <c r="B3" s="48">
        <f>"Simbol"</f>
        <v/>
      </c>
      <c r="C3" s="48" t="inlineStr">
        <is>
          <t>Denumire</t>
        </is>
      </c>
      <c r="D3" s="48">
        <f>"UM"</f>
        <v/>
      </c>
      <c r="E3" s="48">
        <f>"Consum"</f>
        <v/>
      </c>
      <c r="F3" s="48">
        <f>"Cantitate"</f>
        <v/>
      </c>
      <c r="G3" s="49">
        <f>'Date cladire'!B2</f>
        <v/>
      </c>
      <c r="H3" s="49">
        <f>'Date cladire'!D2</f>
        <v/>
      </c>
      <c r="I3" s="49" t="n"/>
      <c r="J3" s="49" t="n"/>
      <c r="K3" s="49" t="n"/>
      <c r="L3" s="49" t="n"/>
      <c r="M3" s="49" t="n"/>
      <c r="N3" s="49" t="n"/>
      <c r="O3" s="49" t="n"/>
      <c r="P3" s="49" t="n"/>
      <c r="Q3" s="49" t="n"/>
      <c r="R3" s="49" t="n"/>
      <c r="S3" s="49" t="n"/>
    </row>
    <row r="4" ht="27" customFormat="1" customHeight="1" s="263">
      <c r="A4" s="12">
        <f>"1"</f>
        <v/>
      </c>
      <c r="B4" s="87">
        <f>"EF02A1 [64]"</f>
        <v/>
      </c>
      <c r="C4" s="13" t="inlineStr">
        <is>
          <t>Montare sistem fotovoltaic complet cu 1 panou, inclusiv racordari si verificari</t>
        </is>
      </c>
      <c r="D4" s="87">
        <f>"buc"</f>
        <v/>
      </c>
      <c r="E4" s="210" t="inlineStr">
        <is>
          <t>1.0</t>
        </is>
      </c>
      <c r="F4" s="211">
        <f>E4</f>
        <v/>
      </c>
      <c r="G4" s="127">
        <f>'Date cladire'!B48</f>
        <v/>
      </c>
      <c r="H4" s="127">
        <f>'Date cladire'!D48</f>
        <v/>
      </c>
      <c r="I4" s="127" t="n"/>
    </row>
    <row r="5" ht="27" customFormat="1" customHeight="1" s="263">
      <c r="B5" s="87">
        <f>"EF02A1 [80]"</f>
        <v/>
      </c>
      <c r="C5" s="13" t="inlineStr">
        <is>
          <t>Montare sistem fotovoltaic complet cu 2 panouri, inclusiv racordari si verificari</t>
        </is>
      </c>
      <c r="D5" s="87">
        <f>"buc"</f>
        <v/>
      </c>
      <c r="E5" s="210" t="inlineStr">
        <is>
          <t>1.0</t>
        </is>
      </c>
      <c r="F5" s="211">
        <f>E5</f>
        <v/>
      </c>
      <c r="G5" s="127" t="n">
        <v>0</v>
      </c>
      <c r="H5" s="127" t="n"/>
      <c r="I5" s="127" t="n"/>
    </row>
  </sheetData>
  <pageMargins left="0.7" right="0.7" top="0.75" bottom="0.75" header="0.511811023622047" footer="0.511811023622047"/>
  <pageSetup orientation="portrait" paperSize="9" horizontalDpi="300" verticalDpi="300"/>
</worksheet>
</file>

<file path=xl/worksheets/sheet21.xml><?xml version="1.0" encoding="utf-8"?>
<worksheet xmlns="http://schemas.openxmlformats.org/spreadsheetml/2006/main">
  <sheetPr>
    <outlinePr summaryBelow="1" summaryRight="1"/>
    <pageSetUpPr/>
  </sheetPr>
  <dimension ref="A1:S4"/>
  <sheetViews>
    <sheetView zoomScaleNormal="100" workbookViewId="0">
      <pane xSplit="1" ySplit="3" topLeftCell="B4" activePane="bottomRight" state="frozen"/>
      <selection pane="topRight" activeCell="B1" sqref="B1"/>
      <selection pane="bottomLeft" activeCell="A4" sqref="A4"/>
      <selection pane="bottomRight" activeCell="K3" sqref="K3"/>
    </sheetView>
  </sheetViews>
  <sheetFormatPr baseColWidth="8" defaultColWidth="9.109375" defaultRowHeight="14.4"/>
  <cols>
    <col width="8.88671875" customWidth="1" style="280" min="1" max="1"/>
    <col width="10.88671875" customWidth="1" style="280" min="2" max="2"/>
    <col width="57" customWidth="1" style="280" min="3" max="3"/>
    <col width="10.88671875" customWidth="1" style="280" min="4" max="5"/>
    <col width="15.6640625" customWidth="1" style="280" min="6" max="6"/>
    <col width="9.109375" customWidth="1" style="280" min="7" max="257"/>
  </cols>
  <sheetData>
    <row r="1" ht="30" customFormat="1" customHeight="1" s="263">
      <c r="B1" s="22">
        <f>'Structura Investitie'!D26</f>
        <v/>
      </c>
      <c r="C1" s="22">
        <f>'Structura Investitie'!C26</f>
        <v/>
      </c>
    </row>
    <row r="2" ht="15" customFormat="1" customHeight="1" s="263"/>
    <row r="3" ht="26.4" customFormat="1" customHeight="1" s="263">
      <c r="A3" s="48">
        <f>"NrCrt"</f>
        <v/>
      </c>
      <c r="B3" s="48">
        <f>"Simbol"</f>
        <v/>
      </c>
      <c r="C3" s="48" t="inlineStr">
        <is>
          <t>Denumire</t>
        </is>
      </c>
      <c r="D3" s="48">
        <f>"UM"</f>
        <v/>
      </c>
      <c r="E3" s="48">
        <f>"Consum"</f>
        <v/>
      </c>
      <c r="F3" s="48">
        <f>"Cantitate"</f>
        <v/>
      </c>
      <c r="G3" s="49">
        <f>'Date cladire'!B2</f>
        <v/>
      </c>
      <c r="H3" s="49">
        <f>'Date cladire'!D2</f>
        <v/>
      </c>
      <c r="I3" s="49" t="n"/>
      <c r="J3" s="49" t="n"/>
      <c r="K3" s="49" t="n"/>
      <c r="L3" s="49" t="n"/>
      <c r="M3" s="49" t="n"/>
      <c r="N3" s="49" t="n"/>
      <c r="O3" s="49" t="n"/>
      <c r="P3" s="49" t="n"/>
      <c r="Q3" s="49" t="n"/>
      <c r="R3" s="49" t="n"/>
      <c r="S3" s="49" t="n"/>
    </row>
    <row r="4" ht="26.4" customFormat="1" customHeight="1" s="263">
      <c r="A4" s="12">
        <f>"1"</f>
        <v/>
      </c>
      <c r="B4" s="87">
        <f>"8000626"</f>
        <v/>
      </c>
      <c r="C4" s="13" t="inlineStr">
        <is>
          <t>Tubulatura încastrata pentru cablurile electrice, pentru a permite instalarea, într-o etapa ulterioara, a punctelor de reîncarcare pentru vehicule electrice</t>
        </is>
      </c>
      <c r="D4" s="87">
        <f>"buc"</f>
        <v/>
      </c>
      <c r="E4" s="210" t="inlineStr">
        <is>
          <t>1.0</t>
        </is>
      </c>
      <c r="F4" s="211">
        <f>E4</f>
        <v/>
      </c>
      <c r="G4" s="263" t="n">
        <v>0</v>
      </c>
    </row>
  </sheetData>
  <pageMargins left="0.7" right="0.7" top="0.75" bottom="0.75" header="0.511811023622047" footer="0.511811023622047"/>
  <pageSetup orientation="portrait" paperSize="9" horizontalDpi="300" verticalDpi="300"/>
</worksheet>
</file>

<file path=xl/worksheets/sheet22.xml><?xml version="1.0" encoding="utf-8"?>
<worksheet xmlns="http://schemas.openxmlformats.org/spreadsheetml/2006/main">
  <sheetPr>
    <outlinePr summaryBelow="1" summaryRight="1"/>
    <pageSetUpPr/>
  </sheetPr>
  <dimension ref="A1:S7"/>
  <sheetViews>
    <sheetView zoomScaleNormal="100" workbookViewId="0">
      <pane xSplit="1" ySplit="3" topLeftCell="B4" activePane="bottomRight" state="frozen"/>
      <selection pane="topRight" activeCell="B1" sqref="B1"/>
      <selection pane="bottomLeft" activeCell="A4" sqref="A4"/>
      <selection pane="bottomRight" activeCell="M21" sqref="M21"/>
    </sheetView>
  </sheetViews>
  <sheetFormatPr baseColWidth="8" defaultColWidth="9.109375" defaultRowHeight="14.4"/>
  <cols>
    <col width="10.6640625" customWidth="1" style="280" min="1" max="1"/>
    <col width="10.88671875" customWidth="1" style="280" min="2" max="2"/>
    <col width="50.88671875" customWidth="1" style="280" min="3" max="3"/>
    <col width="10.88671875" customWidth="1" style="280" min="4" max="5"/>
    <col width="15.6640625" customWidth="1" style="280" min="6" max="6"/>
    <col width="9.109375" customWidth="1" style="280" min="7" max="257"/>
  </cols>
  <sheetData>
    <row r="1" ht="15" customFormat="1" customHeight="1" s="263">
      <c r="B1" s="22">
        <f>'Structura Investitie'!D27</f>
        <v/>
      </c>
      <c r="C1" s="22">
        <f>'Structura Investitie'!C27</f>
        <v/>
      </c>
    </row>
    <row r="2" ht="15.75" customFormat="1" customHeight="1" s="263"/>
    <row r="3" ht="20.25" customFormat="1" customHeight="1" s="263">
      <c r="A3" s="47">
        <f>"NrCrt"</f>
        <v/>
      </c>
      <c r="B3" s="48">
        <f>"Simbol"</f>
        <v/>
      </c>
      <c r="C3" s="48" t="inlineStr">
        <is>
          <t>Denumire</t>
        </is>
      </c>
      <c r="D3" s="48">
        <f>"UM"</f>
        <v/>
      </c>
      <c r="E3" s="48">
        <f>"Consum"</f>
        <v/>
      </c>
      <c r="F3" s="48">
        <f>"Cantitate"</f>
        <v/>
      </c>
      <c r="G3" s="49">
        <f>'Date cladire'!B2</f>
        <v/>
      </c>
      <c r="H3" s="49">
        <f>'Date cladire'!D2</f>
        <v/>
      </c>
      <c r="I3" s="49" t="n"/>
      <c r="J3" s="49" t="n"/>
      <c r="K3" s="49" t="n"/>
      <c r="L3" s="49" t="n"/>
      <c r="M3" s="49" t="n"/>
      <c r="N3" s="49" t="n"/>
      <c r="O3" s="49" t="n"/>
      <c r="P3" s="49" t="n"/>
      <c r="Q3" s="49" t="n"/>
      <c r="R3" s="49" t="n"/>
      <c r="S3" s="49" t="n"/>
    </row>
    <row r="4" ht="27.75" customFormat="1" customHeight="1" s="263">
      <c r="A4" s="67">
        <f>"2"</f>
        <v/>
      </c>
      <c r="B4" s="122">
        <f>"0001747"</f>
        <v/>
      </c>
      <c r="C4" s="13" t="inlineStr">
        <is>
          <t>Amenajare loc pentru automobil pentru perioada incarcarii</t>
        </is>
      </c>
      <c r="D4" s="87">
        <f>"buc"</f>
        <v/>
      </c>
      <c r="E4" s="210" t="inlineStr">
        <is>
          <t>2.0</t>
        </is>
      </c>
      <c r="F4" s="211">
        <f>E4</f>
        <v/>
      </c>
      <c r="G4" s="263" t="n">
        <v>0</v>
      </c>
    </row>
    <row r="5" ht="27" customFormat="1" customHeight="1" s="263">
      <c r="A5" s="67">
        <f>"3"</f>
        <v/>
      </c>
      <c r="B5" s="122">
        <f>"0001748"</f>
        <v/>
      </c>
      <c r="C5" s="13" t="inlineStr">
        <is>
          <t xml:space="preserve">Amenajare loc pentru amplasare statie de incarcare de 22 kw </t>
        </is>
      </c>
      <c r="D5" s="87">
        <f>"buc"</f>
        <v/>
      </c>
      <c r="E5" s="210" t="inlineStr">
        <is>
          <t>1.0</t>
        </is>
      </c>
      <c r="F5" s="211">
        <f>E5</f>
        <v/>
      </c>
      <c r="G5" s="263" t="n">
        <v>0</v>
      </c>
    </row>
    <row r="6" ht="27" customFormat="1" customHeight="1" s="263">
      <c r="A6" s="67">
        <f>"4"</f>
        <v/>
      </c>
      <c r="B6" s="122">
        <f>"0001749"</f>
        <v/>
      </c>
      <c r="C6" s="13" t="inlineStr">
        <is>
          <t>Instalatie electrica pentru alimentare statie de incarcare masini electrice</t>
        </is>
      </c>
      <c r="D6" s="87">
        <f>"buc"</f>
        <v/>
      </c>
      <c r="E6" s="210" t="inlineStr">
        <is>
          <t>1.0</t>
        </is>
      </c>
      <c r="F6" s="211">
        <f>E6</f>
        <v/>
      </c>
      <c r="G6" s="263" t="n">
        <v>0</v>
      </c>
    </row>
    <row r="7" ht="27" customFormat="1" customHeight="1" s="263">
      <c r="A7" s="67">
        <f>"5"</f>
        <v/>
      </c>
      <c r="B7" s="122">
        <f>"0001750"</f>
        <v/>
      </c>
      <c r="C7" s="13" t="inlineStr">
        <is>
          <t xml:space="preserve">Instalatie electrica de curenti slabi ( pentru internet) </t>
        </is>
      </c>
      <c r="D7" s="87">
        <f>"buc"</f>
        <v/>
      </c>
      <c r="E7" s="210" t="inlineStr">
        <is>
          <t>1.0</t>
        </is>
      </c>
      <c r="F7" s="211">
        <f>E7</f>
        <v/>
      </c>
      <c r="G7" s="263" t="n">
        <v>0</v>
      </c>
    </row>
  </sheetData>
  <pageMargins left="0.7" right="0.7" top="0.75" bottom="0.75" header="0.511811023622047" footer="0.511811023622047"/>
  <pageSetup orientation="portrait" paperSize="9" horizontalDpi="300" verticalDpi="300"/>
</worksheet>
</file>

<file path=xl/worksheets/sheet23.xml><?xml version="1.0" encoding="utf-8"?>
<worksheet xmlns="http://schemas.openxmlformats.org/spreadsheetml/2006/main">
  <sheetPr>
    <outlinePr summaryBelow="1" summaryRight="1"/>
    <pageSetUpPr/>
  </sheetPr>
  <dimension ref="A1:S4"/>
  <sheetViews>
    <sheetView zoomScaleNormal="100" workbookViewId="0">
      <pane xSplit="1" ySplit="3" topLeftCell="B4" activePane="bottomRight" state="frozen"/>
      <selection pane="topRight" activeCell="B1" sqref="B1"/>
      <selection pane="bottomLeft" activeCell="A4" sqref="A4"/>
      <selection pane="bottomRight" activeCell="M18" sqref="M18"/>
    </sheetView>
  </sheetViews>
  <sheetFormatPr baseColWidth="8" defaultColWidth="9.109375" defaultRowHeight="14.4"/>
  <cols>
    <col width="6.6640625" customWidth="1" style="280" min="1" max="1"/>
    <col width="10.88671875" customWidth="1" style="280" min="2" max="2"/>
    <col width="50.88671875" customWidth="1" style="280" min="3" max="3"/>
    <col width="10.88671875" customWidth="1" style="280" min="4" max="6"/>
    <col width="9.109375" customWidth="1" style="280" min="7" max="257"/>
  </cols>
  <sheetData>
    <row r="1" ht="30" customFormat="1" customHeight="1" s="263">
      <c r="B1" s="22">
        <f>'Structura Investitie'!D28</f>
        <v/>
      </c>
      <c r="C1" s="22">
        <f>'Structura Investitie'!C28</f>
        <v/>
      </c>
    </row>
    <row r="2" ht="15" customFormat="1" customHeight="1" s="263"/>
    <row r="3" ht="37.5" customFormat="1" customHeight="1" s="263">
      <c r="A3" s="48">
        <f>"NrCrt"</f>
        <v/>
      </c>
      <c r="B3" s="48">
        <f>"Simbol"</f>
        <v/>
      </c>
      <c r="C3" s="48" t="inlineStr">
        <is>
          <t>Denumire</t>
        </is>
      </c>
      <c r="D3" s="48">
        <f>"UM"</f>
        <v/>
      </c>
      <c r="E3" s="48">
        <f>"Consum"</f>
        <v/>
      </c>
      <c r="F3" s="48">
        <f>"Cantitate"</f>
        <v/>
      </c>
      <c r="G3" s="49">
        <f>'Date cladire'!B2</f>
        <v/>
      </c>
      <c r="H3" s="49">
        <f>'Date cladire'!D2</f>
        <v/>
      </c>
      <c r="I3" s="49" t="n"/>
      <c r="J3" s="49" t="n"/>
      <c r="K3" s="49" t="n"/>
      <c r="L3" s="49" t="n"/>
      <c r="M3" s="49" t="n"/>
      <c r="N3" s="49" t="n"/>
      <c r="O3" s="49" t="n"/>
      <c r="P3" s="49" t="n"/>
      <c r="Q3" s="49" t="n"/>
      <c r="R3" s="49" t="n"/>
      <c r="S3" s="49" t="n"/>
    </row>
    <row r="4" ht="40.5" customFormat="1" customHeight="1" s="263">
      <c r="A4" s="128">
        <f>"2"</f>
        <v/>
      </c>
      <c r="B4" s="87">
        <f>"EF04XA [1]"</f>
        <v/>
      </c>
      <c r="C4" s="13" t="inlineStr">
        <is>
          <t>Montare si racordare statie de incarcare masini electrice de 22 kw cu 2 puncte de incarcare</t>
        </is>
      </c>
      <c r="D4" s="87">
        <f>"buc"</f>
        <v/>
      </c>
      <c r="E4" s="210" t="inlineStr">
        <is>
          <t>1.0</t>
        </is>
      </c>
      <c r="F4" s="211">
        <f>E4</f>
        <v/>
      </c>
      <c r="G4" s="263" t="n">
        <v>0</v>
      </c>
    </row>
  </sheetData>
  <pageMargins left="0.7" right="0.7" top="0.75" bottom="0.75" header="0.511811023622047" footer="0.511811023622047"/>
  <pageSetup orientation="portrait" paperSize="9" horizontalDpi="300" verticalDpi="300"/>
</worksheet>
</file>

<file path=xl/worksheets/sheet24.xml><?xml version="1.0" encoding="utf-8"?>
<worksheet xmlns="http://schemas.openxmlformats.org/spreadsheetml/2006/main">
  <sheetPr>
    <outlinePr summaryBelow="1" summaryRight="1"/>
    <pageSetUpPr/>
  </sheetPr>
  <dimension ref="A1:S6"/>
  <sheetViews>
    <sheetView zoomScaleNormal="100" workbookViewId="0">
      <pane xSplit="1" ySplit="3" topLeftCell="B4" activePane="bottomRight" state="frozen"/>
      <selection pane="topRight" activeCell="B1" sqref="B1"/>
      <selection pane="bottomLeft" activeCell="A4" sqref="A4"/>
      <selection pane="bottomRight" activeCell="C5" sqref="C5"/>
    </sheetView>
  </sheetViews>
  <sheetFormatPr baseColWidth="8" defaultColWidth="9.109375" defaultRowHeight="14.4"/>
  <cols>
    <col width="8.44140625" customWidth="1" style="280" min="1" max="1"/>
    <col width="10.88671875" customWidth="1" style="280" min="2" max="2"/>
    <col width="50.88671875" customWidth="1" style="280" min="3" max="3"/>
    <col width="10.88671875" customWidth="1" style="280" min="4" max="5"/>
    <col width="16.33203125" customWidth="1" style="280" min="6" max="6"/>
    <col width="9.109375" customWidth="1" style="280" min="7" max="257"/>
  </cols>
  <sheetData>
    <row r="1" ht="15" customFormat="1" customHeight="1" s="263">
      <c r="B1" s="22">
        <f>'Structura Investitie'!D30</f>
        <v/>
      </c>
      <c r="C1" s="22">
        <f>'Structura Investitie'!C30</f>
        <v/>
      </c>
    </row>
    <row r="2" ht="15.75" customFormat="1" customHeight="1" s="263">
      <c r="D2" s="22">
        <f>'Date cladire'!A83</f>
        <v/>
      </c>
      <c r="E2" s="22">
        <f>'Date cladire'!B83</f>
        <v/>
      </c>
    </row>
    <row r="3" ht="39" customFormat="1" customHeight="1" s="263">
      <c r="A3" s="47">
        <f>"Nr Crt"</f>
        <v/>
      </c>
      <c r="B3" s="48">
        <f>"Simbol"</f>
        <v/>
      </c>
      <c r="C3" s="48" t="inlineStr">
        <is>
          <t>Denumire</t>
        </is>
      </c>
      <c r="D3" s="48">
        <f>"UM"</f>
        <v/>
      </c>
      <c r="E3" s="48">
        <f>"Consum"</f>
        <v/>
      </c>
      <c r="F3" s="48">
        <f>"Cantitate"</f>
        <v/>
      </c>
      <c r="G3" s="49">
        <f>'Date cladire'!B2</f>
        <v/>
      </c>
      <c r="H3" s="49">
        <f>'Date cladire'!D2</f>
        <v/>
      </c>
      <c r="I3" s="49" t="n"/>
      <c r="J3" s="49" t="n"/>
      <c r="K3" s="49" t="n"/>
      <c r="L3" s="49" t="n"/>
      <c r="M3" s="49" t="n"/>
      <c r="N3" s="49" t="n"/>
      <c r="O3" s="49" t="n"/>
      <c r="P3" s="49" t="n"/>
      <c r="Q3" s="49" t="n"/>
      <c r="R3" s="49" t="n"/>
      <c r="S3" s="49" t="n"/>
    </row>
    <row r="4" ht="78.59999999999999" customFormat="1" customHeight="1" s="263">
      <c r="A4" s="67">
        <f>"2"</f>
        <v/>
      </c>
      <c r="B4" s="87">
        <f>"RPCS05A1[ 1 ]"</f>
        <v/>
      </c>
      <c r="C4" s="13" t="inlineStr">
        <is>
          <t>Repararea denivelarilor la trotuare executate din placi de beton sau beton turnat, trotuare perimetrale de protectie a soclului 
 -  2100996 - Beton de ciment  B 450 clasa C30/37</t>
        </is>
      </c>
      <c r="D4" s="87">
        <f>"mp"</f>
        <v/>
      </c>
      <c r="E4" s="210" t="inlineStr">
        <is>
          <t>1.0</t>
        </is>
      </c>
      <c r="F4" s="211">
        <f>E4</f>
        <v/>
      </c>
      <c r="G4" s="52">
        <f>$E$2*'Date cladire'!B4</f>
        <v/>
      </c>
      <c r="H4">
        <f>$E$2*'Date cladire'!D4</f>
        <v/>
      </c>
    </row>
    <row r="5" ht="49.95" customFormat="1" customHeight="1" s="263">
      <c r="A5" s="129">
        <f>"3"</f>
        <v/>
      </c>
      <c r="B5" s="130">
        <f>"RPCE34A1 [3]"</f>
        <v/>
      </c>
      <c r="C5" s="130" t="inlineStr">
        <is>
          <t>Umplerea rosturilor dintre trotuar si soclul cladirii cu bitum tip D - dop din bitum ptr. stopare infiltratii apa - asimilat</t>
        </is>
      </c>
      <c r="D5" s="130">
        <f>"m"</f>
        <v/>
      </c>
      <c r="E5" s="225" t="inlineStr">
        <is>
          <t>1.0</t>
        </is>
      </c>
      <c r="F5" s="226">
        <f>E5</f>
        <v/>
      </c>
      <c r="G5" s="111">
        <f>G4*1</f>
        <v/>
      </c>
      <c r="H5" s="131" t="n"/>
      <c r="I5" s="131" t="n"/>
      <c r="J5" s="131" t="n"/>
      <c r="K5" s="131" t="n"/>
      <c r="L5" s="131" t="n"/>
      <c r="M5" s="131" t="n"/>
      <c r="N5" s="131" t="n"/>
      <c r="O5" s="131" t="n"/>
      <c r="P5" s="131" t="n"/>
      <c r="Q5" s="131" t="n"/>
      <c r="R5" s="131" t="n"/>
      <c r="S5" s="131" t="n"/>
    </row>
    <row r="6" ht="27" customFormat="1" customHeight="1" s="263">
      <c r="A6" s="67">
        <f>"4"</f>
        <v/>
      </c>
      <c r="B6" s="87">
        <f>"TRA06A10 [1]"</f>
        <v/>
      </c>
      <c r="C6" s="13" t="inlineStr">
        <is>
          <t xml:space="preserve">Transportul rutier al betonului-mortarului cu autobetoniera de...5,5mc distanta =10km  </t>
        </is>
      </c>
      <c r="D6" s="87">
        <f>"tona"</f>
        <v/>
      </c>
      <c r="E6" s="210" t="inlineStr">
        <is>
          <t>1.0</t>
        </is>
      </c>
      <c r="F6" s="211">
        <f>E6</f>
        <v/>
      </c>
      <c r="G6" s="52">
        <f>G4*0.08*2.5</f>
        <v/>
      </c>
    </row>
  </sheetData>
  <pageMargins left="0.7" right="0.7" top="0.75" bottom="0.75" header="0.511811023622047" footer="0.511811023622047"/>
  <pageSetup orientation="portrait" paperSize="9" horizontalDpi="300" verticalDpi="300"/>
</worksheet>
</file>

<file path=xl/worksheets/sheet25.xml><?xml version="1.0" encoding="utf-8"?>
<worksheet xmlns="http://schemas.openxmlformats.org/spreadsheetml/2006/main">
  <sheetPr>
    <outlinePr summaryBelow="1" summaryRight="1"/>
    <pageSetUpPr/>
  </sheetPr>
  <dimension ref="A1:S49"/>
  <sheetViews>
    <sheetView zoomScaleNormal="100" workbookViewId="0">
      <pane xSplit="1" ySplit="3" topLeftCell="B4" activePane="bottomRight" state="frozen"/>
      <selection pane="topRight" activeCell="B1" sqref="B1"/>
      <selection pane="bottomLeft" activeCell="A4" sqref="A4"/>
      <selection pane="bottomRight" activeCell="J47" sqref="J47"/>
    </sheetView>
  </sheetViews>
  <sheetFormatPr baseColWidth="8" defaultColWidth="9.109375" defaultRowHeight="14.4"/>
  <cols>
    <col width="8.88671875" customWidth="1" style="132" min="1" max="1"/>
    <col width="10.88671875" customWidth="1" style="263" min="2" max="2"/>
    <col width="69.88671875" customWidth="1" style="280" min="3" max="3"/>
    <col width="10.88671875" customWidth="1" style="280" min="4" max="5"/>
    <col width="16.6640625" customWidth="1" style="280" min="6" max="6"/>
    <col width="11.44140625" customWidth="1" style="280" min="7" max="8"/>
    <col width="9.109375" customWidth="1" style="280" min="9" max="12"/>
    <col width="28.44140625" customWidth="1" style="280" min="13" max="13"/>
    <col width="14.33203125" customWidth="1" style="280" min="14" max="14"/>
    <col width="10.88671875" customWidth="1" style="280" min="15" max="15"/>
    <col width="9.109375" customWidth="1" style="280" min="16" max="257"/>
  </cols>
  <sheetData>
    <row r="1" ht="43.2" customFormat="1" customHeight="1" s="263">
      <c r="A1" s="133" t="n"/>
      <c r="B1" s="22">
        <f>'Structura Investitie'!D31</f>
        <v/>
      </c>
      <c r="C1" s="59">
        <f>'Structura Investitie'!C31</f>
        <v/>
      </c>
      <c r="E1" s="271" t="inlineStr">
        <is>
          <t xml:space="preserve">in acest deviz ,  celulele cu formule se vor adapta  in functie de tipul planseului peste ultimul nivel
 (terasa : articolele : 1-5 si daca e cazul de jgheaburi si burlane + suprainaltare de atic
acoperis : art 6- 25 ;daca construieste acoperis devizul e 0 </t>
        </is>
      </c>
    </row>
    <row r="2" ht="15" customFormat="1" customHeight="1" s="263">
      <c r="A2" s="133" t="n"/>
      <c r="D2" s="22">
        <f>'Date cladire'!A83</f>
        <v/>
      </c>
      <c r="E2" s="22">
        <f>'Date cladire'!B83</f>
        <v/>
      </c>
      <c r="F2" s="91" t="n"/>
    </row>
    <row r="3" ht="37.5" customFormat="1" customHeight="1" s="263">
      <c r="A3" s="134">
        <f>"NrCrt"</f>
        <v/>
      </c>
      <c r="B3" s="48">
        <f>"Simbol"</f>
        <v/>
      </c>
      <c r="C3" s="48" t="inlineStr">
        <is>
          <t>Denumire</t>
        </is>
      </c>
      <c r="D3" s="48">
        <f>"UM"</f>
        <v/>
      </c>
      <c r="E3" s="48">
        <f>"Consum"</f>
        <v/>
      </c>
      <c r="F3" s="48">
        <f>"Cantitate"</f>
        <v/>
      </c>
      <c r="G3" s="49">
        <f>'Date cladire'!B2</f>
        <v/>
      </c>
      <c r="H3" s="263">
        <f>'Date cladire'!D2</f>
        <v/>
      </c>
    </row>
    <row r="4" ht="40.5" customFormat="1" customHeight="1" s="263">
      <c r="A4" s="135">
        <f>"1"</f>
        <v/>
      </c>
      <c r="B4" s="87">
        <f>"IZF67A+ [13]"</f>
        <v/>
      </c>
      <c r="C4" s="13" t="inlineStr">
        <is>
          <t>Reparatii la terasa realizate prin desfacerea hidroizolatiilor deteriorate si repararea zonei cu membrane bituminoase hidroizolante</t>
        </is>
      </c>
      <c r="D4" s="87">
        <f>"mp"</f>
        <v/>
      </c>
      <c r="E4" s="210" t="inlineStr">
        <is>
          <t>1.0</t>
        </is>
      </c>
      <c r="F4" s="211">
        <f>E4</f>
        <v/>
      </c>
      <c r="G4" s="52">
        <f>$E$2*'Date cladire'!B20*0.3</f>
        <v/>
      </c>
      <c r="H4" s="263">
        <f>$E$2*'Date cladire'!D20*0.3</f>
        <v/>
      </c>
      <c r="N4" s="274" t="inlineStr">
        <is>
          <t>reparatii terasa</t>
        </is>
      </c>
    </row>
    <row r="5" ht="27" customFormat="1" customHeight="1" s="263">
      <c r="A5" s="135">
        <f>"2"</f>
        <v/>
      </c>
      <c r="B5" s="87">
        <f>"RPSB56A1"</f>
        <v/>
      </c>
      <c r="C5" s="13" t="inlineStr">
        <is>
          <t xml:space="preserve">Inlocuire gura scurg. fonta email. evac. apa terasa si acoperisuri cu d...100mm  </t>
        </is>
      </c>
      <c r="D5" s="87">
        <f>"buc"</f>
        <v/>
      </c>
      <c r="E5" s="210" t="inlineStr">
        <is>
          <t>1.0</t>
        </is>
      </c>
      <c r="F5" s="211">
        <f>E5</f>
        <v/>
      </c>
      <c r="G5" s="55">
        <f>4</f>
        <v/>
      </c>
      <c r="H5" s="56" t="n"/>
      <c r="I5" s="56" t="n"/>
      <c r="J5" s="56" t="n"/>
      <c r="K5" s="56" t="n"/>
      <c r="L5" s="56" t="n"/>
      <c r="M5" s="56" t="n"/>
      <c r="N5" s="266" t="n"/>
      <c r="O5" s="56" t="n"/>
      <c r="P5" s="56" t="n"/>
    </row>
    <row r="6" ht="27" customFormat="1" customHeight="1" s="263">
      <c r="A6" s="135">
        <f>"3"</f>
        <v/>
      </c>
      <c r="B6" s="87">
        <f>"SB33A+ [1]"</f>
        <v/>
      </c>
      <c r="C6" s="13" t="inlineStr">
        <is>
          <t xml:space="preserve">Receptor de terasa D=75mm pentru sistemul de canalizare meteorica montat cu folie (pt hidoizolatie) </t>
        </is>
      </c>
      <c r="D6" s="87">
        <f>"buc"</f>
        <v/>
      </c>
      <c r="E6" s="210" t="inlineStr">
        <is>
          <t>1.0</t>
        </is>
      </c>
      <c r="F6" s="211">
        <f>E6</f>
        <v/>
      </c>
      <c r="G6" s="52">
        <f>G5</f>
        <v/>
      </c>
      <c r="N6" s="266" t="n"/>
    </row>
    <row r="7" ht="40.5" customFormat="1" customHeight="1" s="263">
      <c r="A7" s="135">
        <f>"4"</f>
        <v/>
      </c>
      <c r="B7" s="87">
        <f>"SA17H1 [1]"</f>
        <v/>
      </c>
      <c r="C7" s="13" t="inlineStr">
        <is>
          <t xml:space="preserve">Asimilat - Teava pvc sau polipropilena montata la prelungirea gurilor de scurgere de pe terase diametru 110mm </t>
        </is>
      </c>
      <c r="D7" s="87">
        <f>"m"</f>
        <v/>
      </c>
      <c r="E7" s="210" t="inlineStr">
        <is>
          <t>1.0</t>
        </is>
      </c>
      <c r="F7" s="211">
        <f>E7</f>
        <v/>
      </c>
      <c r="G7" s="52">
        <f>G5</f>
        <v/>
      </c>
      <c r="N7" s="266" t="n"/>
    </row>
    <row r="8" ht="40.5" customFormat="1" customHeight="1" s="263">
      <c r="A8" s="135">
        <f>"5"</f>
        <v/>
      </c>
      <c r="B8" s="87">
        <f>"RPCE28A1"</f>
        <v/>
      </c>
      <c r="C8" s="13" t="inlineStr">
        <is>
          <t>Parafrunzar cu diametru mediu de 120 mm confectionat dintr-o carcasa sudata zincata d=4 mm...prevazuta cu plasa din sârma zincata, la acoperisuri si terase necirculabile</t>
        </is>
      </c>
      <c r="D8" s="87">
        <f>"buc"</f>
        <v/>
      </c>
      <c r="E8" s="210" t="inlineStr">
        <is>
          <t>1.0</t>
        </is>
      </c>
      <c r="F8" s="211">
        <f>E8</f>
        <v/>
      </c>
      <c r="G8" s="52">
        <f>G5</f>
        <v/>
      </c>
      <c r="N8" s="267" t="n"/>
    </row>
    <row r="9" ht="15" customFormat="1" customHeight="1" s="263">
      <c r="A9" s="135">
        <f>"6"</f>
        <v/>
      </c>
      <c r="B9" s="87">
        <f>"RPCT27A1"</f>
        <v/>
      </c>
      <c r="C9" s="13" t="inlineStr">
        <is>
          <t>Demontarea jgheaburilor si burlanelor...din tabla</t>
        </is>
      </c>
      <c r="D9" s="87">
        <f>"m"</f>
        <v/>
      </c>
      <c r="E9" s="210" t="inlineStr">
        <is>
          <t>1.0</t>
        </is>
      </c>
      <c r="F9" s="211">
        <f>E9</f>
        <v/>
      </c>
      <c r="G9" s="52">
        <f>G10+G11</f>
        <v/>
      </c>
      <c r="N9" s="274" t="inlineStr">
        <is>
          <t>reparatii terasa daca e cazul si reparatii sarpanta</t>
        </is>
      </c>
    </row>
    <row r="10" ht="81" customFormat="1" customHeight="1" s="263">
      <c r="A10" s="135">
        <f>"7"</f>
        <v/>
      </c>
      <c r="B10" s="87">
        <f>"CE13A1 [6]"</f>
        <v/>
      </c>
      <c r="C10" s="13" t="inlineStr">
        <is>
          <t xml:space="preserve">Sistem de jgheaburi semirotunde (jgheab, cot, sistem de fixare, etc) din tabla zincata vopsita in camp electrostatic cu diametrul de 15 cm 
 -  6311247 Jgheab din tabla zincata vopsita in camp electrostatic diametru 15 cm (sistem complet) inclusiv elemente de fixare </t>
        </is>
      </c>
      <c r="D10" s="87">
        <f>"m"</f>
        <v/>
      </c>
      <c r="E10" s="210" t="inlineStr">
        <is>
          <t>1.0</t>
        </is>
      </c>
      <c r="F10" s="211">
        <f>E10</f>
        <v/>
      </c>
      <c r="G10" s="52">
        <f>$E$2*'Date cladire'!B8</f>
        <v/>
      </c>
      <c r="H10" s="263">
        <f>$E$2*'Date cladire'!D8</f>
        <v/>
      </c>
      <c r="N10" s="266" t="n"/>
    </row>
    <row r="11" ht="81" customFormat="1" customHeight="1" s="263">
      <c r="A11" s="135">
        <f>"8"</f>
        <v/>
      </c>
      <c r="B11" s="87">
        <f>"CE14A1 [8]"</f>
        <v/>
      </c>
      <c r="C11" s="13" t="inlineStr">
        <is>
          <t xml:space="preserve">Sistem de burlane rotunde ( burlan, descarcator, cot, bratari fixare) din tabla zincata vopsita in camp electrostatic cu diametru de 10 cm  
 -  3252222 - Burlan din tabla zincata vopsita in camp electrostatic diametru 10 cm (sistem complet) inclusiv elemente de fixare </t>
        </is>
      </c>
      <c r="D11" s="87">
        <f>"m"</f>
        <v/>
      </c>
      <c r="E11" s="210" t="inlineStr">
        <is>
          <t>1.0</t>
        </is>
      </c>
      <c r="F11" s="211">
        <f>E11</f>
        <v/>
      </c>
      <c r="G11" s="55">
        <f>$E$2*'Date cladire'!B16*4</f>
        <v/>
      </c>
      <c r="H11" s="56">
        <f>$E$2*'Date cladire'!D16*4</f>
        <v/>
      </c>
      <c r="I11" s="56" t="n"/>
      <c r="J11" s="56" t="n"/>
      <c r="K11" s="56" t="n"/>
      <c r="L11" s="56" t="n"/>
      <c r="M11" s="56" t="n"/>
      <c r="N11" s="267" t="n"/>
      <c r="O11" s="56" t="n"/>
      <c r="P11" s="263" t="inlineStr">
        <is>
          <t>x nr de de burlane al  al blocului</t>
        </is>
      </c>
    </row>
    <row r="12" ht="27" customFormat="1" customHeight="1" s="263">
      <c r="A12" s="135">
        <f>"9"</f>
        <v/>
      </c>
      <c r="B12" s="87">
        <f>"RPCXH13C"</f>
        <v/>
      </c>
      <c r="C12" s="13" t="inlineStr">
        <is>
          <t xml:space="preserve">Desfacerea ...streasinei infundata sau aparenta incl. sortarea si stivuirea materialelor.   </t>
        </is>
      </c>
      <c r="D12" s="87">
        <f>"mp"</f>
        <v/>
      </c>
      <c r="E12" s="210" t="inlineStr">
        <is>
          <t>1.0</t>
        </is>
      </c>
      <c r="F12" s="211">
        <f>E12</f>
        <v/>
      </c>
      <c r="G12" s="52">
        <f>$E$2*0.6*'Date cladire'!B8</f>
        <v/>
      </c>
      <c r="H12" s="263">
        <f>$E$2*0.6*'Date cladire'!D8</f>
        <v/>
      </c>
      <c r="N12" s="274" t="inlineStr">
        <is>
          <t>reparatii sarpanta</t>
        </is>
      </c>
    </row>
    <row r="13" ht="27" customFormat="1" customHeight="1" s="263">
      <c r="A13" s="135" t="n"/>
      <c r="B13" s="87">
        <f>"CN54A+ [1]"</f>
        <v/>
      </c>
      <c r="C13" s="136" t="inlineStr">
        <is>
          <t xml:space="preserve">Ignifugare si protectie insecto-fungicida elementelor de constructii din lemn </t>
        </is>
      </c>
      <c r="D13" s="136">
        <f>"mp"</f>
        <v/>
      </c>
      <c r="E13" s="227" t="inlineStr">
        <is>
          <t>1.0</t>
        </is>
      </c>
      <c r="F13" s="228">
        <f>E13</f>
        <v/>
      </c>
      <c r="G13" s="137">
        <f>G14*2+G15*2*0.1</f>
        <v/>
      </c>
      <c r="N13" s="266" t="n"/>
    </row>
    <row r="14" ht="54" customFormat="1" customHeight="1" s="263">
      <c r="A14" s="135">
        <f>"10"</f>
        <v/>
      </c>
      <c r="B14" s="87">
        <f>"RPCH13B1"</f>
        <v/>
      </c>
      <c r="C14" s="13" t="inlineStr">
        <is>
          <t>Streasina înfundata, din scânduri de rasinoase faltuite si geluite pe o parte, cu o grosime initiala de 24 mm, inclusiv paziile necesare din scânduri de brad de 28 mm grosime...cu console aparente, geluite si profilate</t>
        </is>
      </c>
      <c r="D14" s="87">
        <f>"mp"</f>
        <v/>
      </c>
      <c r="E14" s="210" t="inlineStr">
        <is>
          <t>1.0</t>
        </is>
      </c>
      <c r="F14" s="211">
        <f>E14</f>
        <v/>
      </c>
      <c r="G14" s="52">
        <f>$E$2*(0.6-0.15)*'Date cladire'!B8</f>
        <v/>
      </c>
      <c r="H14" s="263">
        <f>$E$2*(0.6-0.15)*'Date cladire'!D8</f>
        <v/>
      </c>
      <c r="N14" s="266" t="n"/>
    </row>
    <row r="15" ht="54" customFormat="1" customHeight="1" s="263">
      <c r="A15" s="135" t="n">
        <v>11</v>
      </c>
      <c r="B15" s="87">
        <f>"CE19A1"</f>
        <v/>
      </c>
      <c r="C15" s="13" t="inlineStr">
        <is>
          <t xml:space="preserve">Pazii si stresini din scanduri de lemn pazii la streasina sau frontoane din scinduri geluite simplu  
 - 2903830 -Scindura rasin lunga tiv cls C gR =
24mm L = 3,00m s 942 </t>
        </is>
      </c>
      <c r="D15" s="87">
        <f>"m"</f>
        <v/>
      </c>
      <c r="E15" s="210" t="inlineStr">
        <is>
          <t>1.0</t>
        </is>
      </c>
      <c r="F15" s="211">
        <f>E15</f>
        <v/>
      </c>
      <c r="G15" s="52">
        <f>$E$2*'Date cladire'!B8</f>
        <v/>
      </c>
      <c r="H15" s="263">
        <f>$E$2*'Date cladire'!D8</f>
        <v/>
      </c>
      <c r="N15" s="266" t="n"/>
    </row>
    <row r="16" ht="35.4" customFormat="1" customHeight="1" s="263">
      <c r="A16" s="135" t="n">
        <v>12</v>
      </c>
      <c r="B16" s="13" t="inlineStr">
        <is>
          <t>RPCR36A1</t>
        </is>
      </c>
      <c r="C16" s="13" t="inlineStr">
        <is>
          <t>Vopsitul tavanelor, lambriurilor si al streasinilor din lemn…cu vopsea de ulei</t>
        </is>
      </c>
      <c r="D16" s="13" t="inlineStr">
        <is>
          <t>mp</t>
        </is>
      </c>
      <c r="E16" s="210" t="n"/>
      <c r="F16" s="211" t="n"/>
      <c r="G16" s="52">
        <f>G14*0.45+G15*0.1*2</f>
        <v/>
      </c>
      <c r="N16" s="266" t="n"/>
    </row>
    <row r="17" ht="27" customFormat="1" customHeight="1" s="263">
      <c r="A17" s="135" t="n">
        <v>13</v>
      </c>
      <c r="B17" s="87">
        <f>"RPCH08B1 [1]"</f>
        <v/>
      </c>
      <c r="C17" s="13" t="inlineStr">
        <is>
          <t>Reparatii elemente de sarpanta deteriorate</t>
        </is>
      </c>
      <c r="D17" s="87">
        <f>"mp"</f>
        <v/>
      </c>
      <c r="E17" s="210" t="inlineStr">
        <is>
          <t>1.0</t>
        </is>
      </c>
      <c r="F17" s="211">
        <f>E17</f>
        <v/>
      </c>
      <c r="G17" s="66">
        <f>$E$2*0.3*'Date cladire'!B21</f>
        <v/>
      </c>
      <c r="H17" s="128">
        <f>$E$2*0.3*'Date cladire'!D21</f>
        <v/>
      </c>
      <c r="I17" s="128" t="n"/>
      <c r="J17" s="128" t="n"/>
      <c r="K17" s="128" t="n"/>
      <c r="L17" s="128" t="n"/>
      <c r="M17" s="128" t="n"/>
      <c r="N17" s="266" t="n"/>
      <c r="O17" s="272" t="inlineStr">
        <is>
          <t>reparatii pt sarpanta de lemn</t>
        </is>
      </c>
    </row>
    <row r="18" ht="54" customFormat="1" customHeight="1" s="263">
      <c r="A18" s="135" t="n">
        <v>14</v>
      </c>
      <c r="B18" s="53" t="inlineStr">
        <is>
          <t>RPCH09B1 [10]</t>
        </is>
      </c>
      <c r="C18" s="53" t="inlineStr">
        <is>
          <t>Montare conectori metalici pentru prindere elemente din lemn la sarpante - piesa tip vinclu 100x100                                - 2308383 Piesa metalica pentru prindere elemente de sarpanta tip vinclu 100x100x100mm</t>
        </is>
      </c>
      <c r="D18" s="13" t="inlineStr">
        <is>
          <t>buc</t>
        </is>
      </c>
      <c r="E18" s="210" t="n"/>
      <c r="F18" s="211" t="n"/>
      <c r="G18" s="66">
        <f>ROUND($E$2*0.7*'Date cladire'!B21,0)</f>
        <v/>
      </c>
      <c r="H18" s="128">
        <f>ROUND($E$2*0.7*'Date cladire'!D21,0)</f>
        <v/>
      </c>
      <c r="I18" s="138" t="n"/>
      <c r="J18" s="128" t="n"/>
      <c r="K18" s="128" t="n"/>
      <c r="L18" s="128" t="n"/>
      <c r="M18" s="128" t="n"/>
      <c r="N18" s="266" t="n"/>
      <c r="P18" s="58" t="inlineStr">
        <is>
          <t>0,7 buc/mp</t>
        </is>
      </c>
    </row>
    <row r="19" ht="54" customFormat="1" customHeight="1" s="263">
      <c r="A19" s="135" t="n">
        <v>15</v>
      </c>
      <c r="B19" s="13" t="inlineStr">
        <is>
          <t>RPCH09B1 [11]</t>
        </is>
      </c>
      <c r="C19" s="53" t="inlineStr">
        <is>
          <t xml:space="preserve">Montare conectori metalici pentru prindere elemente din lemn la sarpante - piesa tip vinclu 150x150                             - 2308384 Piesa metalica pentru prindere elemente de sarpanta tip vinclu 150x150x150mm                                          </t>
        </is>
      </c>
      <c r="D19" s="13" t="inlineStr">
        <is>
          <t>buc</t>
        </is>
      </c>
      <c r="E19" s="210" t="n"/>
      <c r="F19" s="211" t="n"/>
      <c r="G19" s="66">
        <f>ROUND($E$2*0.15*'Date cladire'!B21,0)</f>
        <v/>
      </c>
      <c r="H19" s="128">
        <f>ROUND($E$2*0.15*'Date cladire'!D21,0)</f>
        <v/>
      </c>
      <c r="I19" s="138" t="n"/>
      <c r="J19" s="128" t="n"/>
      <c r="K19" s="128" t="n"/>
      <c r="L19" s="128" t="n"/>
      <c r="M19" s="128" t="n"/>
      <c r="N19" s="266" t="n"/>
      <c r="P19" s="58" t="inlineStr">
        <is>
          <t>0,15buc/mp</t>
        </is>
      </c>
    </row>
    <row r="20" ht="30" customFormat="1" customHeight="1" s="263">
      <c r="A20" s="135" t="n">
        <v>16</v>
      </c>
      <c r="B20" s="13" t="inlineStr">
        <is>
          <t xml:space="preserve">RPCH09B1 [7] </t>
        </is>
      </c>
      <c r="C20" s="53" t="inlineStr">
        <is>
          <t xml:space="preserve">Consolidarea sarpantelor executate cu tije filetate M12x300mm </t>
        </is>
      </c>
      <c r="D20" s="13" t="inlineStr">
        <is>
          <t>buc</t>
        </is>
      </c>
      <c r="E20" s="210" t="n"/>
      <c r="F20" s="211" t="n"/>
      <c r="G20" s="55">
        <f>ROUNDDOWN($E$2*'Date cladire'!B7*1,0)</f>
        <v/>
      </c>
      <c r="H20" s="56">
        <f>ROUNDDOWN($E$2*'Date cladire'!D7*1,0)</f>
        <v/>
      </c>
      <c r="I20" s="75" t="n"/>
      <c r="J20" s="56" t="n"/>
      <c r="K20" s="56" t="n"/>
      <c r="L20" s="56" t="n"/>
      <c r="M20" s="56" t="inlineStr">
        <is>
          <t>se adpteaza, in cazul terasei cantitatea devine 0</t>
        </is>
      </c>
      <c r="N20" s="266" t="n"/>
      <c r="P20" s="58" t="inlineStr">
        <is>
          <t xml:space="preserve"> 1 buc /mp (pana la noi info)</t>
        </is>
      </c>
    </row>
    <row r="21" ht="40.5" customFormat="1" customHeight="1" s="263">
      <c r="A21" s="12" t="n">
        <v>18</v>
      </c>
      <c r="B21" s="87">
        <f>"H1B02A3 [1]"</f>
        <v/>
      </c>
      <c r="C21" s="13" t="inlineStr">
        <is>
          <t>Curatarea suprafetelor de beton degradat prin frecare cu peria de sîrma, suflare cu aer comprimat si spalare cu jet de apa sub presiune;</t>
        </is>
      </c>
      <c r="D21" s="87">
        <f>"mp"</f>
        <v/>
      </c>
      <c r="E21" s="210" t="inlineStr">
        <is>
          <t>1.0</t>
        </is>
      </c>
      <c r="F21" s="211">
        <f>E21</f>
        <v/>
      </c>
      <c r="G21" s="99" t="inlineStr">
        <is>
          <t>?</t>
        </is>
      </c>
      <c r="H21" s="100" t="n"/>
      <c r="I21" s="100" t="n"/>
      <c r="J21" s="100" t="n"/>
      <c r="K21" s="100" t="n"/>
      <c r="L21" s="275" t="n"/>
      <c r="M21" s="100" t="n"/>
      <c r="N21" s="266" t="n"/>
      <c r="O21" s="273" t="inlineStr">
        <is>
          <t>in cazul sarpantelor din beton (de vf cu Alin cum trebuie prinse)</t>
        </is>
      </c>
    </row>
    <row r="22" ht="27" customFormat="1" customHeight="1" s="263">
      <c r="A22" s="12" t="n">
        <v>19</v>
      </c>
      <c r="B22" s="87">
        <f>"RPCJ28C1 [6]"</f>
        <v/>
      </c>
      <c r="C22" s="13" t="inlineStr">
        <is>
          <t>Repararea zonelor cu beton degradat executate cu mortar de reprofilare cu contractii reduse</t>
        </is>
      </c>
      <c r="D22" s="87">
        <f>"mp"</f>
        <v/>
      </c>
      <c r="E22" s="210" t="inlineStr">
        <is>
          <t>1.0</t>
        </is>
      </c>
      <c r="F22" s="211">
        <f>E22</f>
        <v/>
      </c>
      <c r="G22" s="99" t="inlineStr">
        <is>
          <t>?</t>
        </is>
      </c>
      <c r="H22" s="100" t="n"/>
      <c r="I22" s="100" t="n"/>
      <c r="J22" s="100" t="n"/>
      <c r="K22" s="100" t="n"/>
      <c r="M22" s="100" t="n"/>
      <c r="N22" s="266" t="n"/>
    </row>
    <row r="23" ht="27" customFormat="1" customHeight="1" s="263">
      <c r="A23" s="12" t="n">
        <v>20</v>
      </c>
      <c r="B23" s="87">
        <f>"IZA02XA [1]"</f>
        <v/>
      </c>
      <c r="C23" s="13" t="inlineStr">
        <is>
          <t>Curatarea armaturilor corodate prin frecare cu peria de sirma</t>
        </is>
      </c>
      <c r="D23" s="87">
        <f>"mp"</f>
        <v/>
      </c>
      <c r="E23" s="210" t="inlineStr">
        <is>
          <t>1.0</t>
        </is>
      </c>
      <c r="F23" s="211">
        <f>E23</f>
        <v/>
      </c>
      <c r="G23" s="139" t="inlineStr">
        <is>
          <t>?</t>
        </is>
      </c>
      <c r="H23" s="100" t="n"/>
      <c r="I23" s="100" t="n"/>
      <c r="J23" s="100" t="n"/>
      <c r="K23" s="100" t="n"/>
      <c r="M23" s="100" t="n"/>
      <c r="N23" s="266" t="n"/>
    </row>
    <row r="24" ht="27" customFormat="1" customHeight="1" s="263">
      <c r="A24" s="12" t="n">
        <v>21</v>
      </c>
      <c r="B24" s="87">
        <f>"IZA05A+ [1]"</f>
        <v/>
      </c>
      <c r="C24" s="13" t="inlineStr">
        <is>
          <t>Tratatea anticoroziva a armaturilor cu solutii chimice agrementate</t>
        </is>
      </c>
      <c r="D24" s="87">
        <f>"mp"</f>
        <v/>
      </c>
      <c r="E24" s="210" t="inlineStr">
        <is>
          <t>1.0</t>
        </is>
      </c>
      <c r="F24" s="211">
        <f>E24</f>
        <v/>
      </c>
      <c r="G24" s="139" t="inlineStr">
        <is>
          <t>?</t>
        </is>
      </c>
      <c r="H24" s="100" t="n"/>
      <c r="I24" s="100" t="n"/>
      <c r="J24" s="100" t="n"/>
      <c r="K24" s="100" t="n"/>
      <c r="M24" s="100" t="n"/>
      <c r="N24" s="266" t="n"/>
    </row>
    <row r="25" ht="40.5" customFormat="1" customHeight="1" s="263">
      <c r="A25" s="12" t="n">
        <v>22</v>
      </c>
      <c r="B25" s="87">
        <f>"RPCJ46C1 [4]"</f>
        <v/>
      </c>
      <c r="C25" s="13" t="inlineStr">
        <is>
          <t>Tencuieli de protectie in zona armaturilor de otel/ fier beton cu mortar special, în cazul lucrarilor de reparatii ale structurilor degradate de beton armat</t>
        </is>
      </c>
      <c r="D25" s="87">
        <f>"m"</f>
        <v/>
      </c>
      <c r="E25" s="210" t="inlineStr">
        <is>
          <t>1.0</t>
        </is>
      </c>
      <c r="F25" s="211">
        <f>E25</f>
        <v/>
      </c>
      <c r="G25" s="99" t="inlineStr">
        <is>
          <t>?</t>
        </is>
      </c>
      <c r="H25" s="100" t="n"/>
      <c r="I25" s="100" t="n"/>
      <c r="J25" s="100" t="n"/>
      <c r="K25" s="100" t="n"/>
      <c r="M25" s="100" t="n"/>
      <c r="N25" s="266" t="n"/>
    </row>
    <row r="26" ht="27" customFormat="1" customHeight="1" s="263">
      <c r="A26" s="135" t="n">
        <v>23</v>
      </c>
      <c r="B26" s="87">
        <f>"CE05A1 [2]"</f>
        <v/>
      </c>
      <c r="C26" s="13" t="inlineStr">
        <is>
          <t>Reparatii la invelitori realizate cu tigla metalica  la acoperisuri cu astereala</t>
        </is>
      </c>
      <c r="D26" s="87">
        <f>"mp"</f>
        <v/>
      </c>
      <c r="E26" s="210" t="inlineStr">
        <is>
          <t>1.0</t>
        </is>
      </c>
      <c r="F26" s="211">
        <f>E26</f>
        <v/>
      </c>
      <c r="G26" s="55" t="n">
        <v>0</v>
      </c>
      <c r="H26" s="56" t="n"/>
      <c r="I26" s="56" t="n"/>
      <c r="J26" s="56" t="n"/>
      <c r="K26" s="56" t="n"/>
      <c r="L26" s="56" t="n"/>
      <c r="M26" s="56" t="n"/>
      <c r="N26" s="266" t="n"/>
    </row>
    <row r="27" ht="40.5" customFormat="1" customHeight="1" s="263">
      <c r="A27" s="135" t="n">
        <v>24</v>
      </c>
      <c r="B27" s="87">
        <f>"RPCI06C1"</f>
        <v/>
      </c>
      <c r="C27" s="13" t="inlineStr">
        <is>
          <t xml:space="preserve">Reparatii la invelitori din tigle profilate...390x220 mm, 405x230 mm, coame 380x350 mm la acoperisuri cu asterereala si carton bitumat CA 300  </t>
        </is>
      </c>
      <c r="D27" s="87">
        <f>"mp"</f>
        <v/>
      </c>
      <c r="E27" s="210" t="inlineStr">
        <is>
          <t>1.0</t>
        </is>
      </c>
      <c r="F27" s="211">
        <f>E27</f>
        <v/>
      </c>
      <c r="G27" s="55" t="n">
        <v>0</v>
      </c>
      <c r="H27" s="56" t="n"/>
      <c r="I27" s="56" t="n"/>
      <c r="J27" s="56" t="n"/>
      <c r="K27" s="56" t="n"/>
      <c r="L27" s="56" t="n"/>
      <c r="M27" s="56" t="n"/>
      <c r="N27" s="266" t="n"/>
    </row>
    <row r="28" ht="54" customFormat="1" customHeight="1" s="263">
      <c r="A28" s="135" t="n">
        <v>25</v>
      </c>
      <c r="B28" s="87">
        <f>"RPCH11A1"</f>
        <v/>
      </c>
      <c r="C28" s="13" t="inlineStr">
        <is>
          <t>Reparatii la astereala învelitorii din scânduri de rasinoase de 24 mm grosime, executate prin înlocuirea asterealei stricate, cu scânduri...brute, la constructii obisnuite</t>
        </is>
      </c>
      <c r="D28" s="87">
        <f>"mp"</f>
        <v/>
      </c>
      <c r="E28" s="210" t="inlineStr">
        <is>
          <t>1.0</t>
        </is>
      </c>
      <c r="F28" s="211">
        <f>E28</f>
        <v/>
      </c>
      <c r="G28" s="55" t="n">
        <v>0</v>
      </c>
      <c r="H28" s="56" t="n"/>
      <c r="I28" s="56" t="n"/>
      <c r="J28" s="56" t="n"/>
      <c r="K28" s="56" t="n"/>
      <c r="L28" s="56" t="n"/>
      <c r="M28" s="56" t="n"/>
      <c r="N28" s="267" t="n"/>
    </row>
    <row r="29" ht="27" customFormat="1" customHeight="1" s="263">
      <c r="A29" s="12" t="n">
        <v>26</v>
      </c>
      <c r="B29" s="87">
        <f>"TRA02A10"</f>
        <v/>
      </c>
      <c r="C29" s="13" t="inlineStr">
        <is>
          <t xml:space="preserve">Transportul rutier al materialelor,semifabricatelor cu autocamionul pe dist.= ...10 km.  </t>
        </is>
      </c>
      <c r="D29" s="87">
        <f>"tona"</f>
        <v/>
      </c>
      <c r="E29" s="210" t="inlineStr">
        <is>
          <t>1.0</t>
        </is>
      </c>
      <c r="F29" s="211">
        <f>E29</f>
        <v/>
      </c>
      <c r="G29" s="52">
        <f>(G4*4.5+G5*5+G9*2+G10*1.5+G11*2.5+G12*0.024*800+G14*0.024*800+G15*0.1*0.024*800+G17*30+G18*0.2+G19*0.3+G20*0.2+G26*6+G27*26*2.9+G28*0.024*800)/1000</f>
        <v/>
      </c>
    </row>
    <row r="30" ht="27" customFormat="1" customHeight="1" s="263">
      <c r="A30" s="12" t="n">
        <v>27</v>
      </c>
      <c r="B30" s="87">
        <f>"TRI1AC13E1"</f>
        <v/>
      </c>
      <c r="C30" s="13" t="inlineStr">
        <is>
          <t>Descarcare...materiale gr.c-ambalate,10-50 kg deplas.prin purtare pina la 10m,asez..auto-rampa,teren ctg</t>
        </is>
      </c>
      <c r="D30" s="87">
        <f>"tona"</f>
        <v/>
      </c>
      <c r="E30" s="210" t="inlineStr">
        <is>
          <t>1.0</t>
        </is>
      </c>
      <c r="F30" s="211">
        <f>E30</f>
        <v/>
      </c>
      <c r="G30" s="52">
        <f>G29</f>
        <v/>
      </c>
    </row>
    <row r="31" ht="15" customFormat="1" customHeight="1" s="263">
      <c r="A31" s="140" t="n"/>
      <c r="B31" s="141" t="n"/>
      <c r="C31" s="141" t="n"/>
      <c r="D31" s="141" t="n"/>
      <c r="E31" s="141" t="n"/>
      <c r="F31" s="141" t="n"/>
      <c r="G31" s="52" t="n"/>
    </row>
    <row r="32" ht="15.75" customFormat="1" customHeight="1" s="263">
      <c r="A32" s="142" t="n"/>
      <c r="B32" s="141" t="n"/>
      <c r="C32" s="143" t="inlineStr">
        <is>
          <t>Suprainaltare de atic</t>
        </is>
      </c>
      <c r="D32" s="58" t="n"/>
      <c r="G32" s="144" t="n"/>
      <c r="H32" s="141" t="n"/>
      <c r="I32" s="141" t="n"/>
      <c r="J32" s="141" t="n"/>
      <c r="K32" s="141" t="n"/>
      <c r="L32" s="141" t="n"/>
      <c r="M32" s="141" t="n"/>
      <c r="N32" s="141" t="n"/>
      <c r="O32" s="141" t="n"/>
      <c r="P32" s="141" t="n"/>
      <c r="Q32" s="141" t="n"/>
      <c r="R32" s="141" t="n"/>
      <c r="S32" s="141" t="n"/>
    </row>
    <row r="33" ht="27" customFormat="1" customHeight="1" s="263">
      <c r="A33" s="145" t="n">
        <v>20</v>
      </c>
      <c r="B33" s="13" t="inlineStr">
        <is>
          <t>RPCE06</t>
        </is>
      </c>
      <c r="C33" s="13" t="inlineStr">
        <is>
          <t>Desfacerea hidroizolatiilor,termoizolatiilor lipit cu bitum si a straturilor de protectie la terase</t>
        </is>
      </c>
      <c r="D33" s="13" t="inlineStr">
        <is>
          <t>mp</t>
        </is>
      </c>
      <c r="E33" s="210" t="inlineStr">
        <is>
          <t>1.0</t>
        </is>
      </c>
      <c r="F33" s="211">
        <f>E33</f>
        <v/>
      </c>
      <c r="G33" s="52">
        <f>ROUND(($E$2*('Date cladire'!B75*'Date cladire'!B77+'Date cladire'!B76*'Date cladire'!B79)),0)</f>
        <v/>
      </c>
      <c r="H33" s="263">
        <f>ROUND(($E$2*('Date cladire'!D75*'Date cladire'!D77+'Date cladire'!D76*'Date cladire'!D79)),0)</f>
        <v/>
      </c>
    </row>
    <row r="34" ht="27" customFormat="1" customHeight="1" s="263">
      <c r="A34" s="145" t="n">
        <v>21</v>
      </c>
      <c r="B34" s="13" t="inlineStr">
        <is>
          <t>RPCB23A1</t>
        </is>
      </c>
      <c r="C34" s="13" t="inlineStr">
        <is>
          <t>Spituirea suprafetelor de beton...in vederea aderarii unui beton nou</t>
        </is>
      </c>
      <c r="D34" s="13" t="inlineStr">
        <is>
          <t>mp</t>
        </is>
      </c>
      <c r="E34" s="210" t="inlineStr">
        <is>
          <t>1.0</t>
        </is>
      </c>
      <c r="F34" s="211">
        <f>E34</f>
        <v/>
      </c>
      <c r="G34" s="52">
        <f>G33</f>
        <v/>
      </c>
    </row>
    <row r="35" ht="67.5" customFormat="1" customHeight="1" s="263">
      <c r="A35" s="145" t="n">
        <v>22</v>
      </c>
      <c r="B35" s="13" t="inlineStr">
        <is>
          <t>CB04D1</t>
        </is>
      </c>
      <c r="C35" s="13" t="inlineStr">
        <is>
          <t>Cofraje pentru beton armat în placi, grinzi si stâlpi. din panouri refolosibile, cu astereala din scânduri de rasinoase,scurte si subscurte,exclusiv sustinerile, la constructii având înaltimea între 20 si 35 m inclusiv, la stalpi si cadre</t>
        </is>
      </c>
      <c r="D35" s="13" t="inlineStr">
        <is>
          <t>mp</t>
        </is>
      </c>
      <c r="E35" s="210" t="inlineStr">
        <is>
          <t>1.0</t>
        </is>
      </c>
      <c r="F35" s="211">
        <f>E35</f>
        <v/>
      </c>
      <c r="G35" s="52">
        <f>ROUNDUP(($E$2*('Date cladire'!B75*('Date cladire'!B78+0.1)*2+'Date cladire'!B76*('Date cladire'!B80+0.1)*2)),0)</f>
        <v/>
      </c>
      <c r="H35" s="263">
        <f>ROUNDUP(($E$2*('Date cladire'!D75*('Date cladire'!D78+0.1)*2+'Date cladire'!D76*('Date cladire'!D80+0.1)*2)),0)</f>
        <v/>
      </c>
    </row>
    <row r="36" ht="22.2" customFormat="1" customHeight="1" s="263">
      <c r="A36" s="145" t="n">
        <v>23</v>
      </c>
      <c r="B36" s="13" t="inlineStr">
        <is>
          <t>2903830</t>
        </is>
      </c>
      <c r="C36" s="13" t="inlineStr">
        <is>
          <t>Scindura rasin lunga    tiv cls C   gR = 24mm L = 3,00m s 942</t>
        </is>
      </c>
      <c r="D36" s="13" t="inlineStr">
        <is>
          <t>mc</t>
        </is>
      </c>
      <c r="E36" s="210" t="inlineStr">
        <is>
          <t>1.0</t>
        </is>
      </c>
      <c r="F36" s="211">
        <f>E36</f>
        <v/>
      </c>
      <c r="G36" s="52">
        <f>G35*0.024</f>
        <v/>
      </c>
    </row>
    <row r="37" ht="67.5" customFormat="1" customHeight="1" s="263">
      <c r="A37" s="145" t="n">
        <v>24</v>
      </c>
      <c r="B37" s="13" t="inlineStr">
        <is>
          <t>CZ0302D1 [1]</t>
        </is>
      </c>
      <c r="C37" s="13" t="inlineStr">
        <is>
          <t xml:space="preserve">Confectionarea armaturilor din otel beton pentru beton armat în elemente de constructii turnate în cofraje, exclusiv cele executate în cofraje glisante fasonarea barelor pentru pereti, grinzi, stâlpi si diafragme la constructii obisnuite, în atelier </t>
        </is>
      </c>
      <c r="D37" s="13" t="inlineStr">
        <is>
          <t>kg</t>
        </is>
      </c>
      <c r="E37" s="210" t="inlineStr">
        <is>
          <t>1.0</t>
        </is>
      </c>
      <c r="F37" s="211">
        <f>E37</f>
        <v/>
      </c>
      <c r="G37" s="146">
        <f>$E$2*232.26</f>
        <v/>
      </c>
      <c r="H37" s="56" t="n"/>
      <c r="I37" s="56" t="n"/>
      <c r="J37" s="56" t="n"/>
      <c r="K37" s="56" t="n"/>
      <c r="L37" s="56" t="n"/>
      <c r="M37" s="56" t="n"/>
      <c r="N37" s="56" t="n"/>
      <c r="P37" s="147" t="inlineStr">
        <is>
          <t>(de luat din plansa de rezi)</t>
        </is>
      </c>
      <c r="Q37" s="280" t="inlineStr">
        <is>
          <t>fi 6 sau fi 8 cantittea</t>
        </is>
      </c>
    </row>
    <row r="38" ht="60" customFormat="1" customHeight="1" s="263">
      <c r="A38" s="145" t="n">
        <v>25</v>
      </c>
      <c r="B38" s="13" t="inlineStr">
        <is>
          <t>CZ0301E1</t>
        </is>
      </c>
      <c r="C38" s="13" t="inlineStr">
        <is>
          <t>Confectionarea armaturilor din otel beton pentru beton armat în fundatii fasonarea barelor pentru fundatii izolate (inclusiv fundatii pahar) continui si radiere, în ateliere centralizate PC 52, D= 10-16 mm ;</t>
        </is>
      </c>
      <c r="D38" s="13" t="inlineStr">
        <is>
          <t>kg</t>
        </is>
      </c>
      <c r="E38" s="210" t="inlineStr">
        <is>
          <t>1.0</t>
        </is>
      </c>
      <c r="F38" s="211">
        <f>E38</f>
        <v/>
      </c>
      <c r="G38" s="146">
        <f>$E$2*(539.24-G37)</f>
        <v/>
      </c>
      <c r="H38" s="56" t="n"/>
      <c r="I38" s="56" t="n"/>
      <c r="J38" s="56" t="n"/>
      <c r="K38" s="56" t="n"/>
      <c r="L38" s="56" t="n"/>
      <c r="M38" s="56" t="n"/>
      <c r="N38" s="56" t="n"/>
      <c r="P38" s="147" t="inlineStr">
        <is>
          <t>(de luat din plansa de rezi)</t>
        </is>
      </c>
    </row>
    <row r="39" ht="67.5" customFormat="1" customHeight="1" s="263">
      <c r="A39" s="145" t="n">
        <v>26</v>
      </c>
      <c r="B39" s="13" t="inlineStr">
        <is>
          <t>CC02C1 [1]</t>
        </is>
      </c>
      <c r="C39" s="13" t="inlineStr">
        <is>
          <t xml:space="preserve">Montarea armaturilor din otel-beton în elemente de constructii, exclusiv cele din constructiile executate în cofraje glisante la constructii executate la o înaltime pâna la 35 m inclusiv, din bare fasonate având diametrul pâna la 18 mm inclusiv, in </t>
        </is>
      </c>
      <c r="D39" s="13" t="inlineStr">
        <is>
          <t>kg</t>
        </is>
      </c>
      <c r="E39" s="210" t="inlineStr">
        <is>
          <t>1.0</t>
        </is>
      </c>
      <c r="F39" s="211">
        <f>E39</f>
        <v/>
      </c>
      <c r="G39" s="52">
        <f>G38+G37</f>
        <v/>
      </c>
    </row>
    <row r="40" ht="54" customFormat="1" customHeight="1" s="263">
      <c r="A40" s="145" t="n">
        <v>28</v>
      </c>
      <c r="B40" s="13" t="inlineStr">
        <is>
          <t>CA07L1 [2]</t>
        </is>
      </c>
      <c r="C40" s="13" t="inlineStr">
        <is>
          <t>Turnarea cu pompa a betonului armat în elementele constructiilor, exclusiv cele executate în cofraje glisante la constructii cu înaltimea între pana la 30 m, în stâlpi si centuri izolate;</t>
        </is>
      </c>
      <c r="D40" s="13" t="inlineStr">
        <is>
          <t>mc</t>
        </is>
      </c>
      <c r="E40" s="210" t="inlineStr">
        <is>
          <t>1.0</t>
        </is>
      </c>
      <c r="F40" s="211">
        <f>E40</f>
        <v/>
      </c>
      <c r="G40" s="52">
        <f>$E$2*('Date cladire'!B75*'Date cladire'!B77*'Date cladire'!B78+'Date cladire'!B76*'Date cladire'!B79*'Date cladire'!B80)</f>
        <v/>
      </c>
      <c r="H40" s="263">
        <f>$E$2*('Date cladire'!D75*'Date cladire'!D77*'Date cladire'!D78+'Date cladire'!D76*'Date cladire'!D79*'Date cladire'!D80)</f>
        <v/>
      </c>
    </row>
    <row r="41" ht="27" customFormat="1" customHeight="1" s="263">
      <c r="A41" s="145" t="n">
        <v>29</v>
      </c>
      <c r="B41" s="148" t="inlineStr">
        <is>
          <t>"0002850"</t>
        </is>
      </c>
      <c r="C41" s="148" t="inlineStr">
        <is>
          <t>Beton de ciment  B 350 clasa C20/2</t>
        </is>
      </c>
      <c r="D41" s="13" t="inlineStr">
        <is>
          <t>mc</t>
        </is>
      </c>
      <c r="E41" s="210" t="inlineStr">
        <is>
          <t>1.0</t>
        </is>
      </c>
      <c r="F41" s="211">
        <f>E41</f>
        <v/>
      </c>
      <c r="G41" s="52">
        <f>1.008*G40</f>
        <v/>
      </c>
      <c r="M41" s="263" t="inlineStr">
        <is>
          <t>norma schimbata</t>
        </is>
      </c>
    </row>
    <row r="42" ht="27" customFormat="1" customHeight="1" s="263">
      <c r="A42" s="145" t="n">
        <v>30</v>
      </c>
      <c r="B42" s="13" t="inlineStr">
        <is>
          <t>TRA06A10 [3]</t>
        </is>
      </c>
      <c r="C42" s="13" t="inlineStr">
        <is>
          <t xml:space="preserve">Transportul rutier al betonului sau mortarului cu autobetoniera de 5,5mc distanta =10km  </t>
        </is>
      </c>
      <c r="D42" s="13" t="inlineStr">
        <is>
          <t>tona</t>
        </is>
      </c>
      <c r="E42" s="210" t="inlineStr">
        <is>
          <t>1.0</t>
        </is>
      </c>
      <c r="F42" s="211">
        <f>E42</f>
        <v/>
      </c>
      <c r="G42" s="52">
        <f>G40*2.5</f>
        <v/>
      </c>
    </row>
    <row r="43" ht="27" customFormat="1" customHeight="1" s="263">
      <c r="A43" s="145" t="n">
        <v>31</v>
      </c>
      <c r="B43" s="13" t="inlineStr">
        <is>
          <t>CC09A1 [16]</t>
        </is>
      </c>
      <c r="C43" s="13" t="inlineStr">
        <is>
          <t>Ancorarea chimica a armaturilor FI 12mm L= 200mm</t>
        </is>
      </c>
      <c r="D43" s="13" t="inlineStr">
        <is>
          <t>buc</t>
        </is>
      </c>
      <c r="E43" s="210" t="inlineStr">
        <is>
          <t>1.0</t>
        </is>
      </c>
      <c r="F43" s="211">
        <f>E43</f>
        <v/>
      </c>
      <c r="G43" s="52">
        <f>ROUNDUP(($E$2*('Date cladire'!B75+'Date cladire'!B76)),0)</f>
        <v/>
      </c>
      <c r="H43" s="263">
        <f>ROUNDUP(($E$2*('Date cladire'!D75+'Date cladire'!D76)),0)</f>
        <v/>
      </c>
    </row>
    <row r="44" ht="42.6" customFormat="1" customHeight="1" s="263">
      <c r="A44" s="145" t="n">
        <v>32</v>
      </c>
      <c r="B44" s="13" t="inlineStr">
        <is>
          <t>CF06A1</t>
        </is>
      </c>
      <c r="C44" s="13" t="inlineStr">
        <is>
          <t>Tencuieli exterioare obisnuite executate manual, driscuite din gros, la calcane sau la interior în poduri, subsoluri etc, cu mortar de var-ciment marca M25-T in grosime medie de 2 cm;</t>
        </is>
      </c>
      <c r="D44" s="13" t="inlineStr">
        <is>
          <t>mp</t>
        </is>
      </c>
      <c r="E44" s="210" t="inlineStr">
        <is>
          <t>1.0</t>
        </is>
      </c>
      <c r="F44" s="211">
        <f>E44</f>
        <v/>
      </c>
      <c r="G44" s="52">
        <f>ROUNDUP(($E$2*('Date cladire'!B75*'Date cladire'!B78+'Date cladire'!B76*'Date cladire'!B80)),0)</f>
        <v/>
      </c>
      <c r="H44" s="263">
        <f>ROUNDUP(($E$2*('Date cladire'!D75*'Date cladire'!D78+'Date cladire'!D76*'Date cladire'!D80)),0)</f>
        <v/>
      </c>
    </row>
    <row r="45" ht="27" customFormat="1" customHeight="1" s="263">
      <c r="A45" s="145" t="n">
        <v>33</v>
      </c>
      <c r="B45" s="93" t="inlineStr">
        <is>
          <t xml:space="preserve">   2101200</t>
        </is>
      </c>
      <c r="C45" s="13" t="inlineStr">
        <is>
          <t>Mortar tencuiala M 100 (var pasta) s 1030</t>
        </is>
      </c>
      <c r="D45" s="13" t="inlineStr">
        <is>
          <t>mc</t>
        </is>
      </c>
      <c r="E45" s="210" t="inlineStr">
        <is>
          <t>1.0</t>
        </is>
      </c>
      <c r="F45" s="211">
        <f>E45</f>
        <v/>
      </c>
      <c r="G45" s="52">
        <f>G44*0.019</f>
        <v/>
      </c>
    </row>
    <row r="46" ht="28.95" customFormat="1" customHeight="1" s="263">
      <c r="A46" s="145" t="n">
        <v>34</v>
      </c>
      <c r="B46" s="13" t="inlineStr">
        <is>
          <t>TRA02A10</t>
        </is>
      </c>
      <c r="C46" s="13" t="inlineStr">
        <is>
          <t xml:space="preserve">Transportul rutier al materialelor,semifabricatelor cu autocamionul pe dist.= ...10 km.  </t>
        </is>
      </c>
      <c r="D46" s="13" t="inlineStr">
        <is>
          <t>tona</t>
        </is>
      </c>
      <c r="E46" s="210" t="inlineStr">
        <is>
          <t>1.0</t>
        </is>
      </c>
      <c r="F46" s="211">
        <f>E46</f>
        <v/>
      </c>
      <c r="G46" s="52">
        <f>(G37+G38+G35*0.024*800+G44*0.025*2500)/1000</f>
        <v/>
      </c>
    </row>
    <row r="47" ht="31.95" customFormat="1" customHeight="1" s="263">
      <c r="A47" s="145" t="n">
        <v>35</v>
      </c>
      <c r="B47" s="13" t="inlineStr">
        <is>
          <t>TRI1AC13E1</t>
        </is>
      </c>
      <c r="C47" s="13" t="inlineStr">
        <is>
          <t>Descarcare...materiale gr.c-ambalate,10-50 kg deplas.prin purtare pina la 10m,asez..auto-rampa,teren ctg</t>
        </is>
      </c>
      <c r="D47" s="13" t="inlineStr">
        <is>
          <t>tona</t>
        </is>
      </c>
      <c r="E47" s="210" t="inlineStr">
        <is>
          <t>1.0</t>
        </is>
      </c>
      <c r="F47" s="211">
        <f>E47</f>
        <v/>
      </c>
      <c r="G47" s="52">
        <f>G46</f>
        <v/>
      </c>
    </row>
    <row r="48" ht="27" customFormat="1" customHeight="1" s="263">
      <c r="A48" s="145" t="n">
        <v>36</v>
      </c>
      <c r="B48" s="13" t="inlineStr">
        <is>
          <t>TRB05A22</t>
        </is>
      </c>
      <c r="C48" s="13" t="inlineStr">
        <is>
          <t xml:space="preserve">Transportul materialelor prin purtat direct.materiale...incomode sub 25 kg distanta 20m  </t>
        </is>
      </c>
      <c r="D48" s="13" t="inlineStr">
        <is>
          <t>tona</t>
        </is>
      </c>
      <c r="E48" s="210" t="inlineStr">
        <is>
          <t>1.0</t>
        </is>
      </c>
      <c r="F48" s="211">
        <f>E48</f>
        <v/>
      </c>
      <c r="G48" s="52">
        <f>G46</f>
        <v/>
      </c>
    </row>
    <row r="49" ht="15" customHeight="1" s="23">
      <c r="A49" s="149" t="n"/>
    </row>
  </sheetData>
  <mergeCells count="7">
    <mergeCell ref="O17:O20"/>
    <mergeCell ref="O21:O25"/>
    <mergeCell ref="N4:N8"/>
    <mergeCell ref="N12:N28"/>
    <mergeCell ref="L21:L25"/>
    <mergeCell ref="E1:N1"/>
    <mergeCell ref="N9:N11"/>
  </mergeCells>
  <pageMargins left="0.7" right="0.7" top="0.75" bottom="0.75" header="0.511811023622047" footer="0.511811023622047"/>
  <pageSetup orientation="portrait" paperSize="9" horizontalDpi="300" verticalDpi="300"/>
</worksheet>
</file>

<file path=xl/worksheets/sheet26.xml><?xml version="1.0" encoding="utf-8"?>
<worksheet xmlns="http://schemas.openxmlformats.org/spreadsheetml/2006/main">
  <sheetPr>
    <outlinePr summaryBelow="1" summaryRight="1"/>
    <pageSetUpPr/>
  </sheetPr>
  <dimension ref="A1:AC57"/>
  <sheetViews>
    <sheetView zoomScale="70" zoomScaleNormal="70" workbookViewId="0">
      <pane xSplit="1" ySplit="3" topLeftCell="B4" activePane="bottomRight" state="frozen"/>
      <selection pane="topRight" activeCell="B1" sqref="B1"/>
      <selection pane="bottomLeft" activeCell="A4" sqref="A4"/>
      <selection pane="bottomRight" activeCell="C43" sqref="C43"/>
    </sheetView>
  </sheetViews>
  <sheetFormatPr baseColWidth="8" defaultColWidth="9.109375" defaultRowHeight="14.4"/>
  <cols>
    <col width="8.88671875" customWidth="1" style="280" min="1" max="1"/>
    <col width="11.44140625" customWidth="1" style="280" min="2" max="2"/>
    <col width="62.33203125" customWidth="1" style="280" min="3" max="3"/>
    <col width="10.88671875" customWidth="1" style="280" min="4" max="6"/>
    <col width="11.5546875" customWidth="1" style="280" min="7" max="8"/>
    <col width="16.33203125" customWidth="1" style="280" min="9" max="9"/>
    <col width="9.109375" customWidth="1" style="280" min="10" max="11"/>
    <col width="12.6640625" customWidth="1" style="280" min="12" max="12"/>
    <col width="24.33203125" customWidth="1" style="280" min="13" max="13"/>
    <col width="14" customWidth="1" style="280" min="14" max="14"/>
    <col width="13" customWidth="1" style="280" min="15" max="15"/>
    <col width="9.109375" customWidth="1" style="280" min="16" max="18"/>
    <col width="11.88671875" customWidth="1" style="280" min="19" max="19"/>
    <col width="9.109375" customWidth="1" style="280" min="20" max="257"/>
  </cols>
  <sheetData>
    <row r="1" ht="30" customFormat="1" customHeight="1" s="263">
      <c r="B1" s="22">
        <f>'Structura Investitie'!D32</f>
        <v/>
      </c>
      <c r="C1" s="59">
        <f>'Structura Investitie'!C32</f>
        <v/>
      </c>
      <c r="F1" s="264" t="inlineStr">
        <is>
          <t>se lasa cantitati doar daca se consturieste acoperis daca nu se pune 0</t>
        </is>
      </c>
    </row>
    <row r="2" ht="15" customFormat="1" customHeight="1" s="263">
      <c r="D2" s="22">
        <f>'Date cladire'!A83</f>
        <v/>
      </c>
      <c r="E2" s="22">
        <f>'Date cladire'!B83</f>
        <v/>
      </c>
      <c r="F2" s="22" t="n"/>
    </row>
    <row r="3" ht="36" customFormat="1" customHeight="1" s="263">
      <c r="A3" s="48">
        <f>"NrCrt"</f>
        <v/>
      </c>
      <c r="B3" s="48">
        <f>"Simbol"</f>
        <v/>
      </c>
      <c r="C3" s="48" t="inlineStr">
        <is>
          <t>Denumire</t>
        </is>
      </c>
      <c r="D3" s="48">
        <f>"UM"</f>
        <v/>
      </c>
      <c r="E3" s="48">
        <f>"Consum"</f>
        <v/>
      </c>
      <c r="F3" s="48">
        <f>"Cantitate"</f>
        <v/>
      </c>
      <c r="G3" s="49">
        <f>'Date cladire'!B2</f>
        <v/>
      </c>
      <c r="H3" s="49">
        <f>'Date cladire'!D2</f>
        <v/>
      </c>
      <c r="I3" s="49" t="n"/>
      <c r="J3" s="49" t="n"/>
      <c r="K3" s="49" t="n"/>
      <c r="L3" s="49" t="n"/>
      <c r="M3" s="281" t="inlineStr">
        <is>
          <t>daca acoperisul e din arhitectura blocului trebuie adaugate articole de demontare</t>
        </is>
      </c>
      <c r="N3" s="282" t="n"/>
      <c r="O3" s="282" t="n"/>
      <c r="P3" s="150" t="n"/>
      <c r="Q3" s="150" t="n"/>
      <c r="R3" s="150" t="n"/>
      <c r="S3" s="150" t="n"/>
      <c r="T3" s="151" t="n"/>
    </row>
    <row r="4" ht="28.95" customFormat="1" customHeight="1" s="263">
      <c r="A4" s="12">
        <f>"1"</f>
        <v/>
      </c>
      <c r="B4" s="87">
        <f>"CE17B1 [1]"</f>
        <v/>
      </c>
      <c r="C4" s="13" t="inlineStr">
        <is>
          <t>Sarpanta din lemn la acoperisuri cu una pana la patru pante, executata pe scaune</t>
        </is>
      </c>
      <c r="D4" s="87">
        <f>"mp"</f>
        <v/>
      </c>
      <c r="E4" s="210" t="inlineStr">
        <is>
          <t>1.0</t>
        </is>
      </c>
      <c r="F4" s="229">
        <f>E4</f>
        <v/>
      </c>
      <c r="G4" s="66">
        <f>$E$2*'Date cladire'!B21</f>
        <v/>
      </c>
      <c r="H4" s="128">
        <f>$E$2*'Date cladire'!D21</f>
        <v/>
      </c>
      <c r="I4" s="128" t="n"/>
      <c r="J4" s="128" t="n"/>
      <c r="K4" s="128" t="n"/>
      <c r="L4" s="128" t="n"/>
      <c r="M4" s="279" t="inlineStr">
        <is>
          <t>pt sarpanta normala</t>
        </is>
      </c>
      <c r="O4" s="276" t="inlineStr">
        <is>
          <t xml:space="preserve">se lasa doar tipul de sarpanta necesar +se modifica in transporturi </t>
        </is>
      </c>
    </row>
    <row r="5" ht="40.95" customFormat="1" customHeight="1" s="263">
      <c r="A5" s="12" t="n">
        <v>2</v>
      </c>
      <c r="B5" s="87" t="n">
        <v>2900479</v>
      </c>
      <c r="C5" s="13" t="inlineStr">
        <is>
          <t>Lemn din rasinoase cal I pentru sarpante</t>
        </is>
      </c>
      <c r="D5" s="13" t="inlineStr">
        <is>
          <t>mc</t>
        </is>
      </c>
      <c r="E5" s="210" t="n"/>
      <c r="F5" s="229" t="n"/>
      <c r="G5" s="66">
        <f>G4*0.07</f>
        <v/>
      </c>
      <c r="H5" s="128" t="n"/>
      <c r="I5" s="128" t="n"/>
      <c r="J5" s="128" t="n"/>
      <c r="K5" s="128" t="n"/>
      <c r="L5" s="128" t="n"/>
      <c r="N5" s="263" t="inlineStr">
        <is>
          <t>Daca nu avem e suprafata *0.07</t>
        </is>
      </c>
    </row>
    <row r="6" ht="40.95" customFormat="1" customHeight="1" s="263">
      <c r="A6" s="12" t="n">
        <v>3</v>
      </c>
      <c r="B6" s="13" t="inlineStr">
        <is>
          <t>CE17B1 [2]</t>
        </is>
      </c>
      <c r="C6" s="13" t="inlineStr">
        <is>
          <t xml:space="preserve">Sarpanta prefabricata din lemn imbinata la noduri cu placute multicui   </t>
        </is>
      </c>
      <c r="D6" s="87">
        <f>"mp"</f>
        <v/>
      </c>
      <c r="E6" s="210" t="n"/>
      <c r="F6" s="229" t="n"/>
      <c r="G6" s="98">
        <f>$E$2*'Date cladire'!B21*0</f>
        <v/>
      </c>
      <c r="H6" s="97">
        <f>$E$2*'Date cladire'!D21*0</f>
        <v/>
      </c>
      <c r="I6" s="97" t="n"/>
      <c r="J6" s="97" t="n"/>
      <c r="K6" s="97" t="n"/>
      <c r="L6" s="97" t="n"/>
      <c r="M6" s="278" t="inlineStr">
        <is>
          <t>pt sarpanta prefabricata</t>
        </is>
      </c>
    </row>
    <row r="7" ht="21" customFormat="1" customHeight="1" s="277">
      <c r="A7" s="135" t="n">
        <v>4</v>
      </c>
      <c r="B7" s="76" t="n">
        <v>2900479</v>
      </c>
      <c r="C7" s="76" t="inlineStr">
        <is>
          <t xml:space="preserve">Lemn din rasinoase cal I pentru sarpanta   </t>
        </is>
      </c>
      <c r="D7" s="76" t="inlineStr">
        <is>
          <t>mc</t>
        </is>
      </c>
      <c r="E7" s="230" t="n"/>
      <c r="F7" s="231" t="n"/>
      <c r="G7" s="83">
        <f>G6*0.015</f>
        <v/>
      </c>
      <c r="H7" s="84" t="n"/>
      <c r="I7" s="84" t="n"/>
      <c r="J7" s="84" t="n"/>
      <c r="K7" s="84" t="n"/>
      <c r="L7" s="84" t="n"/>
    </row>
    <row r="8" ht="42" customFormat="1" customHeight="1" s="277">
      <c r="A8" s="135" t="n">
        <v>5</v>
      </c>
      <c r="B8" s="76" t="n">
        <v>2436</v>
      </c>
      <c r="C8" s="76" t="inlineStr">
        <is>
          <t xml:space="preserve">Lemn ignifugat pentru sarpante prefabricate imbinate la noduri cu placute multicui debitat la dimensiune, inclusiv placute, gata de montaj   </t>
        </is>
      </c>
      <c r="D8" s="76" t="inlineStr">
        <is>
          <t>mc</t>
        </is>
      </c>
      <c r="E8" s="230" t="n"/>
      <c r="F8" s="231" t="n"/>
      <c r="G8" s="83">
        <f>G6*0.027</f>
        <v/>
      </c>
      <c r="H8" s="84" t="n"/>
      <c r="I8" s="84" t="n"/>
      <c r="J8" s="84" t="n"/>
      <c r="K8" s="84" t="n"/>
      <c r="L8" s="84" t="n"/>
    </row>
    <row r="9" ht="60" customFormat="1" customHeight="1" s="277">
      <c r="A9" s="135" t="n">
        <v>6</v>
      </c>
      <c r="B9" s="76" t="inlineStr">
        <is>
          <t>RPCH09B1 [10]</t>
        </is>
      </c>
      <c r="C9" s="76" t="inlineStr">
        <is>
          <t>Montare conectori metalici pentru prindere elemente din lemn la sarpante - piesa tip vinclu 100x100                               2308383 Piesa metalica pentru prindere elemente de sarpanta tip vinclu 100x100x100mm</t>
        </is>
      </c>
      <c r="D9" s="76" t="inlineStr">
        <is>
          <t>buc</t>
        </is>
      </c>
      <c r="E9" s="230" t="n"/>
      <c r="F9" s="231" t="n"/>
      <c r="G9" s="82">
        <f>ROUND($E$2*(0.7*'Date cladire'!B21),0)</f>
        <v/>
      </c>
      <c r="H9" s="277">
        <f>ROUND($E$2*(0.7*'Date cladire'!D21),0)</f>
        <v/>
      </c>
      <c r="M9" s="141" t="n"/>
    </row>
    <row r="10" ht="54" customFormat="1" customHeight="1" s="263">
      <c r="A10" s="12" t="n">
        <v>7</v>
      </c>
      <c r="B10" s="13" t="inlineStr">
        <is>
          <t>RPCH09B1 [11]</t>
        </is>
      </c>
      <c r="C10" s="53" t="inlineStr">
        <is>
          <t xml:space="preserve">Montare conectori metalici pentru prindere elemente din lemn la sarpante - piesa tip vinclu 150x150                            2308384 Piesa metalica pentru prindere elemente de sarpanta tip vinclu 150x150x150mm                                          </t>
        </is>
      </c>
      <c r="D10" s="13" t="inlineStr">
        <is>
          <t>buc</t>
        </is>
      </c>
      <c r="E10" s="210" t="inlineStr">
        <is>
          <t>1.0</t>
        </is>
      </c>
      <c r="F10" s="211">
        <f>E10</f>
        <v/>
      </c>
      <c r="G10" s="52">
        <f>ROUND($E$2*(0.15*'Date cladire'!B21),0)</f>
        <v/>
      </c>
      <c r="H10" s="263">
        <f>ROUND($E$2*(0.15*'Date cladire'!D21),0)</f>
        <v/>
      </c>
      <c r="I10" s="104" t="n"/>
    </row>
    <row r="11" ht="45" customFormat="1" customHeight="1" s="128">
      <c r="A11" s="152" t="n">
        <v>8</v>
      </c>
      <c r="B11" s="76" t="inlineStr">
        <is>
          <t xml:space="preserve">RPCH09B1 [7] </t>
        </is>
      </c>
      <c r="C11" s="76" t="inlineStr">
        <is>
          <t xml:space="preserve">Consolidarea sarpantelor executate cu tije filetate M12x300mm </t>
        </is>
      </c>
      <c r="D11" s="76" t="inlineStr">
        <is>
          <t>buc</t>
        </is>
      </c>
      <c r="E11" s="210" t="n"/>
      <c r="F11" s="232" t="n"/>
      <c r="G11" s="52">
        <f>ROUNDDOWN('Date cladire'!B7*1,0)</f>
        <v/>
      </c>
      <c r="H11">
        <f>ROUNDDOWN('Date cladire'!D7*1,0)</f>
        <v/>
      </c>
      <c r="I11" s="153" t="n"/>
      <c r="N11" s="58" t="inlineStr">
        <is>
          <t xml:space="preserve"> 1 buc /mp (pana la noi info)</t>
        </is>
      </c>
      <c r="T11" s="263" t="n"/>
    </row>
    <row r="12" ht="27" customFormat="1" customHeight="1" s="263">
      <c r="A12" s="12" t="n">
        <v>9</v>
      </c>
      <c r="B12" s="87">
        <f>"CE18A1"</f>
        <v/>
      </c>
      <c r="C12" s="13" t="inlineStr">
        <is>
          <t xml:space="preserve">Astereala la învelitori sau la doliile invelitorilor din tigla si azbociment scinduri din rasinoase  </t>
        </is>
      </c>
      <c r="D12" s="87">
        <f>"mp"</f>
        <v/>
      </c>
      <c r="E12" s="210" t="inlineStr">
        <is>
          <t>1.0</t>
        </is>
      </c>
      <c r="F12" s="211">
        <f>E12</f>
        <v/>
      </c>
      <c r="G12" s="52">
        <f>G4*1.25</f>
        <v/>
      </c>
    </row>
    <row r="13" ht="31.95" customFormat="1" customHeight="1" s="263">
      <c r="A13" s="12" t="n">
        <v>10</v>
      </c>
      <c r="B13" s="87">
        <f>"CE20A1 [4]"</f>
        <v/>
      </c>
      <c r="C13" s="87" t="inlineStr">
        <is>
          <t>Sipci din lemn montate la acoperisuri pentru sustinerea si fixarea invelitorilor din tigla metalica</t>
        </is>
      </c>
      <c r="D13" s="87">
        <f>"mp"</f>
        <v/>
      </c>
      <c r="E13" s="210" t="inlineStr">
        <is>
          <t>1.0</t>
        </is>
      </c>
      <c r="F13" s="211">
        <f>E13</f>
        <v/>
      </c>
      <c r="G13" s="98">
        <f>G12</f>
        <v/>
      </c>
      <c r="H13" s="97" t="n"/>
      <c r="I13" s="97" t="n"/>
      <c r="J13" s="97" t="n"/>
      <c r="K13" s="97" t="n"/>
      <c r="L13" s="97" t="n"/>
    </row>
    <row r="14" ht="108" customFormat="1" customHeight="1" s="263">
      <c r="A14" s="12" t="n">
        <v>11</v>
      </c>
      <c r="B14" s="87">
        <f>"CE05A1 [1]"</f>
        <v/>
      </c>
      <c r="C14" s="87" t="inlineStr">
        <is>
          <t xml:space="preserve">Invelitoare din tabla zincata profilata ondulata, fixata si tesute cu suruburi autofiletante - montare invelitoare din tigla metalica ( tip lindab) - asim 
   2300106 - Tigla metalica 0,5 PE din otel galvanizat protejata in sistem multistrat pe ambele fete cu acoperire finala vopsea poliesterica (tip lindab sau similar) sistem complet inclusiv coame,dolii, opritori zapada etc    </t>
        </is>
      </c>
      <c r="D14" s="87">
        <f>"mp"</f>
        <v/>
      </c>
      <c r="E14" s="210" t="inlineStr">
        <is>
          <t>1.0</t>
        </is>
      </c>
      <c r="F14" s="211">
        <f>E14</f>
        <v/>
      </c>
      <c r="G14" s="83">
        <f>G12</f>
        <v/>
      </c>
      <c r="H14" s="97" t="n"/>
      <c r="I14" s="97" t="n"/>
      <c r="J14" s="97" t="n"/>
      <c r="K14" s="97" t="n"/>
      <c r="L14" s="97" t="n"/>
      <c r="U14" s="58" t="n"/>
    </row>
    <row r="15" ht="27" customFormat="1" customHeight="1" s="263">
      <c r="A15" s="12" t="n">
        <v>12</v>
      </c>
      <c r="B15" s="7" t="inlineStr">
        <is>
          <t xml:space="preserve">RPCP09A1 [4] </t>
        </is>
      </c>
      <c r="C15" s="9" t="inlineStr">
        <is>
          <t xml:space="preserve">Parazapezi tip bara pentru invelitori </t>
        </is>
      </c>
      <c r="D15" s="13" t="inlineStr">
        <is>
          <t>m</t>
        </is>
      </c>
      <c r="E15" s="210" t="n"/>
      <c r="F15" s="211" t="n"/>
      <c r="G15" s="82">
        <f>$E$2*'Date cladire'!B8</f>
        <v/>
      </c>
      <c r="H15" s="263">
        <f>$E$2*'Date cladire'!D8</f>
        <v/>
      </c>
      <c r="U15" s="58" t="n"/>
    </row>
    <row r="16" ht="27" customFormat="1" customHeight="1" s="263">
      <c r="A16" s="12" t="n">
        <v>13</v>
      </c>
      <c r="B16" s="87">
        <f>"IZF03A1 [2]"</f>
        <v/>
      </c>
      <c r="C16" s="13" t="inlineStr">
        <is>
          <t>Folie anticondens montata sub invelitori</t>
        </is>
      </c>
      <c r="D16" s="87">
        <f>"mp"</f>
        <v/>
      </c>
      <c r="E16" s="210" t="inlineStr">
        <is>
          <t>1.0</t>
        </is>
      </c>
      <c r="F16" s="211">
        <f>E16</f>
        <v/>
      </c>
      <c r="G16" s="52">
        <f>G12</f>
        <v/>
      </c>
    </row>
    <row r="17" ht="27" customFormat="1" customHeight="1" s="263">
      <c r="A17" s="12" t="n">
        <v>14</v>
      </c>
      <c r="B17" s="87">
        <f>"CN54A+ [1]"</f>
        <v/>
      </c>
      <c r="C17" s="13" t="inlineStr">
        <is>
          <t xml:space="preserve">Ignifugare si protectie insecto-fungicida elementelor de constructii din lemn </t>
        </is>
      </c>
      <c r="D17" s="87">
        <f>"mp"</f>
        <v/>
      </c>
      <c r="E17" s="210" t="inlineStr">
        <is>
          <t>1.0</t>
        </is>
      </c>
      <c r="F17" s="211">
        <f>E17</f>
        <v/>
      </c>
      <c r="G17" s="52">
        <f>G12*2.5+G4*2+G18*2+G19*2*0.1</f>
        <v/>
      </c>
    </row>
    <row r="18" ht="51.6" customFormat="1" customHeight="1" s="263">
      <c r="A18" s="12" t="n">
        <v>15</v>
      </c>
      <c r="B18" s="87">
        <f>"RPCH13B1"</f>
        <v/>
      </c>
      <c r="C18" s="13" t="inlineStr">
        <is>
          <t>Streasina înfundata, din scânduri de rasinoase faltuite si geluite pe o parte, cu o grosime initiala de 24 mm, inclusiv paziile necesare din scânduri de brad de 28 mm grosime...cu console aparente, geluite si profilate</t>
        </is>
      </c>
      <c r="D18" s="87">
        <f>"mp"</f>
        <v/>
      </c>
      <c r="E18" s="210" t="inlineStr">
        <is>
          <t>1.0</t>
        </is>
      </c>
      <c r="F18" s="211">
        <f>E18</f>
        <v/>
      </c>
      <c r="G18" s="52">
        <f>$E$2*0.6*'Date cladire'!B8</f>
        <v/>
      </c>
      <c r="H18" s="263">
        <f>$E$2*0.6*'Date cladire'!D8</f>
        <v/>
      </c>
    </row>
    <row r="19" ht="27" customFormat="1" customHeight="1" s="263">
      <c r="A19" s="12" t="n">
        <v>16</v>
      </c>
      <c r="B19" s="87">
        <f>"CE19A1"</f>
        <v/>
      </c>
      <c r="C19" s="13" t="inlineStr">
        <is>
          <t xml:space="preserve">Pazii si stresini din scanduri de lemn pazii la streasina sau frontoane din scinduri geluite simplu  </t>
        </is>
      </c>
      <c r="D19" s="87">
        <f>"m"</f>
        <v/>
      </c>
      <c r="E19" s="210" t="inlineStr">
        <is>
          <t>1.0</t>
        </is>
      </c>
      <c r="F19" s="211">
        <f>E19</f>
        <v/>
      </c>
      <c r="G19" s="52">
        <f>$E$2*'Date cladire'!B8</f>
        <v/>
      </c>
      <c r="H19" s="263">
        <f>$E$2*'Date cladire'!D8</f>
        <v/>
      </c>
    </row>
    <row r="20" ht="34.2" customFormat="1" customHeight="1" s="263">
      <c r="A20" s="135" t="n">
        <v>17</v>
      </c>
      <c r="B20" s="13" t="inlineStr">
        <is>
          <t>RPCR36A1</t>
        </is>
      </c>
      <c r="C20" s="13" t="inlineStr">
        <is>
          <t>Vopsitul tavanelor, lambriurilor si al streasinilor din lemn…cu vopsea de ulei</t>
        </is>
      </c>
      <c r="D20" s="13" t="inlineStr">
        <is>
          <t>mp</t>
        </is>
      </c>
      <c r="E20" s="210" t="n"/>
      <c r="F20" s="211" t="n"/>
      <c r="G20" s="52">
        <f>G18*0.45+G19*0.1*2</f>
        <v/>
      </c>
    </row>
    <row r="21" ht="27" customFormat="1" customHeight="1" s="263">
      <c r="A21" s="12" t="n">
        <v>18</v>
      </c>
      <c r="B21" s="87">
        <f>"TRA02A10"</f>
        <v/>
      </c>
      <c r="C21" s="13" t="inlineStr">
        <is>
          <t xml:space="preserve">Transportul rutier al materialelor,semifabricatelor cu autocamionul pe dist.= ...10 km.  </t>
        </is>
      </c>
      <c r="D21" s="87">
        <f>"tona"</f>
        <v/>
      </c>
      <c r="E21" s="210" t="inlineStr">
        <is>
          <t>1.0</t>
        </is>
      </c>
      <c r="F21" s="211">
        <f>E21</f>
        <v/>
      </c>
      <c r="G21" s="52">
        <f>(G5*800+G7*800+G8*850+G9*0.2+G10*0.3+G11*0.2+G12*0.024*800+G13*1+G14*6+G15*2+G18*0.024*800+G19*0.1*0.024*800+G27*1.5+G28*2.5+G29*7.68+G30*0.024*800)/1000</f>
        <v/>
      </c>
    </row>
    <row r="22" ht="40.5" customFormat="1" customHeight="1" s="263">
      <c r="A22" s="12" t="n">
        <v>19</v>
      </c>
      <c r="B22" s="87">
        <f>"TRI1AC13E1"</f>
        <v/>
      </c>
      <c r="C22" s="13" t="inlineStr">
        <is>
          <t>Descarcare...materiale gr.c-ambalate,10-50 kg deplas.prin purtare pina la 10m,asez..auto-rampa,teren ctg</t>
        </is>
      </c>
      <c r="D22" s="87">
        <f>"tona"</f>
        <v/>
      </c>
      <c r="E22" s="210" t="inlineStr">
        <is>
          <t>1.0</t>
        </is>
      </c>
      <c r="F22" s="211">
        <f>E22</f>
        <v/>
      </c>
      <c r="G22" s="52">
        <f>G21</f>
        <v/>
      </c>
    </row>
    <row r="23" ht="40.5" customFormat="1" customHeight="1" s="263">
      <c r="A23" s="12" t="n">
        <v>20</v>
      </c>
      <c r="B23" s="87">
        <f>"TRB05B12"</f>
        <v/>
      </c>
      <c r="C23" s="13" t="inlineStr">
        <is>
          <t xml:space="preserve">Transportul materialelor prin purtat...direct.materiale comode peste 25 kg distanta 20m  </t>
        </is>
      </c>
      <c r="D23" s="87">
        <f>"tona"</f>
        <v/>
      </c>
      <c r="E23" s="210" t="inlineStr">
        <is>
          <t>1.0</t>
        </is>
      </c>
      <c r="F23" s="211">
        <f>E23</f>
        <v/>
      </c>
      <c r="G23" s="52">
        <f>G21</f>
        <v/>
      </c>
    </row>
    <row r="24" ht="30" customFormat="1" customHeight="1" s="263">
      <c r="A24" s="12" t="n">
        <v>21</v>
      </c>
      <c r="B24" s="87">
        <f>"MDTC4669010"</f>
        <v/>
      </c>
      <c r="C24" s="13" t="inlineStr">
        <is>
          <t>Transport utilaj...10km 65121022 macara pe pneuri cu brat telescopic telemac ht125,12,5tf(10-14,9tf</t>
        </is>
      </c>
      <c r="D24" s="87">
        <f>"buc"</f>
        <v/>
      </c>
      <c r="E24" s="210" t="inlineStr">
        <is>
          <t>2.0</t>
        </is>
      </c>
      <c r="F24" s="211">
        <f>E24</f>
        <v/>
      </c>
      <c r="G24" s="55" t="n">
        <v>2</v>
      </c>
      <c r="H24" s="56" t="n"/>
      <c r="I24" s="56" t="n"/>
      <c r="J24" s="56" t="n"/>
      <c r="K24" s="56" t="n"/>
      <c r="L24" s="56" t="n"/>
      <c r="M24" s="154" t="inlineStr">
        <is>
          <t>2 buc pt 1-3 scari
4 buc pt 4-6 scari</t>
        </is>
      </c>
    </row>
    <row r="25" ht="15" customFormat="1" customHeight="1" s="263">
      <c r="A25" s="12" t="n">
        <v>22</v>
      </c>
      <c r="B25" s="87">
        <f>"AUT6729"</f>
        <v/>
      </c>
      <c r="C25" s="13" t="inlineStr">
        <is>
          <t>Macara pe...pneuri 10-14,9tf</t>
        </is>
      </c>
      <c r="D25" s="87">
        <f>"ora"</f>
        <v/>
      </c>
      <c r="E25" s="210" t="inlineStr">
        <is>
          <t>1.0</t>
        </is>
      </c>
      <c r="F25" s="211">
        <f>E25</f>
        <v/>
      </c>
      <c r="G25" s="55" t="n">
        <v>2</v>
      </c>
      <c r="H25" s="56" t="n"/>
      <c r="I25" s="56" t="n"/>
      <c r="J25" s="56" t="n"/>
      <c r="K25" s="56" t="n"/>
      <c r="L25" s="56" t="n"/>
      <c r="M25" s="155" t="inlineStr">
        <is>
          <t>2 ore ptr o scara</t>
        </is>
      </c>
      <c r="N25" s="156" t="n"/>
      <c r="O25" s="156" t="n"/>
      <c r="P25" s="156" t="n"/>
      <c r="Q25" s="156" t="n"/>
      <c r="R25" s="156" t="n"/>
      <c r="S25" s="156" t="n"/>
      <c r="T25" s="156" t="n"/>
      <c r="U25" s="156" t="n"/>
      <c r="V25" s="156" t="n"/>
      <c r="W25" s="156" t="n"/>
      <c r="X25" s="156" t="n"/>
      <c r="Y25" s="156" t="n"/>
      <c r="Z25" s="156" t="n"/>
      <c r="AA25" s="156" t="n"/>
      <c r="AB25" s="156" t="n"/>
      <c r="AC25" s="156" t="n"/>
    </row>
    <row r="26" ht="27" customFormat="1" customHeight="1" s="263">
      <c r="A26" s="12" t="n">
        <v>23</v>
      </c>
      <c r="B26" s="87">
        <f>"RPCE30A1"</f>
        <v/>
      </c>
      <c r="C26" s="13" t="inlineStr">
        <is>
          <t>Prelata pentru protejarea terasei pe timp ploios,...pe durata refacerii</t>
        </is>
      </c>
      <c r="D26" s="87">
        <f>"mp"</f>
        <v/>
      </c>
      <c r="E26" s="210" t="inlineStr">
        <is>
          <t>1.0</t>
        </is>
      </c>
      <c r="F26" s="211">
        <f>E26</f>
        <v/>
      </c>
      <c r="G26" s="52">
        <f>$E$2*'Date cladire'!B20</f>
        <v/>
      </c>
      <c r="H26" s="263">
        <f>$E$2*'Date cladire'!D20</f>
        <v/>
      </c>
    </row>
    <row r="27" ht="40.5" customFormat="1" customHeight="1" s="263">
      <c r="A27" s="12" t="n">
        <v>24</v>
      </c>
      <c r="B27" s="87">
        <f>"CE13A1 [6]"</f>
        <v/>
      </c>
      <c r="C27" s="13" t="inlineStr">
        <is>
          <t xml:space="preserve">Sistem de jgheaburi semirotunde (jgheab, cot, sistem de fixare, etc) din tabla zincata vopsita in camp electrostatic cu diametrul de 15 cm </t>
        </is>
      </c>
      <c r="D27" s="87">
        <f>"m"</f>
        <v/>
      </c>
      <c r="E27" s="210" t="inlineStr">
        <is>
          <t>1.0</t>
        </is>
      </c>
      <c r="F27" s="211">
        <f>E27</f>
        <v/>
      </c>
      <c r="G27" s="55" t="n">
        <v>0</v>
      </c>
      <c r="H27" s="56" t="n"/>
      <c r="I27" s="56" t="n"/>
      <c r="J27" s="56" t="n"/>
      <c r="K27" s="56" t="n"/>
      <c r="L27" s="56" t="n"/>
    </row>
    <row r="28" ht="40.5" customFormat="1" customHeight="1" s="263">
      <c r="A28" s="12" t="n">
        <v>25</v>
      </c>
      <c r="B28" s="87">
        <f>"CE14A1 [8]"</f>
        <v/>
      </c>
      <c r="C28" s="13" t="inlineStr">
        <is>
          <t xml:space="preserve">Sistem de burlane rotunde ( burlan, descarcator, cot, bratari fixare) din tabla zincata vopsita in camp electrostatic cu diametru de 10 cm  </t>
        </is>
      </c>
      <c r="D28" s="87">
        <f>"m"</f>
        <v/>
      </c>
      <c r="E28" s="210" t="inlineStr">
        <is>
          <t>1.0</t>
        </is>
      </c>
      <c r="F28" s="211">
        <f>E28</f>
        <v/>
      </c>
      <c r="G28" s="55" t="n">
        <v>0</v>
      </c>
      <c r="H28" s="56" t="n"/>
      <c r="I28" s="56" t="n"/>
      <c r="J28" s="56" t="n"/>
      <c r="K28" s="56" t="n"/>
      <c r="L28" s="56" t="n"/>
    </row>
    <row r="29" ht="27" customFormat="1" customHeight="1" s="263">
      <c r="A29" s="12" t="n">
        <v>26</v>
      </c>
      <c r="B29" s="87">
        <f>"CD20A+ [15]"</f>
        <v/>
      </c>
      <c r="C29" s="13" t="inlineStr">
        <is>
          <t>Inchideri laterale la sarpante realizate cu placi de OSB pe suport din lemn</t>
        </is>
      </c>
      <c r="D29" s="87">
        <f>"mp"</f>
        <v/>
      </c>
      <c r="E29" s="210" t="inlineStr">
        <is>
          <t>1.0</t>
        </is>
      </c>
      <c r="F29" s="211">
        <f>E29</f>
        <v/>
      </c>
      <c r="G29" s="55" t="n">
        <v>0</v>
      </c>
      <c r="H29" s="56" t="n"/>
      <c r="I29" s="56" t="n"/>
      <c r="J29" s="56" t="n"/>
      <c r="K29" s="56" t="n"/>
      <c r="L29" s="56" t="n"/>
      <c r="M29" s="264" t="inlineStr">
        <is>
          <t>se alege daca e cazul tipul inchiderii laterale a acoperisului</t>
        </is>
      </c>
    </row>
    <row r="30" ht="27" customFormat="1" customHeight="1" s="263">
      <c r="A30" s="12" t="n"/>
      <c r="B30" s="20" t="inlineStr">
        <is>
          <t>CO16XA [1] -</t>
        </is>
      </c>
      <c r="C30" s="20" t="inlineStr">
        <is>
          <t xml:space="preserve"> Calcan din lemn pentru inchiderea sarpantei la partile laterale</t>
        </is>
      </c>
      <c r="D30" s="13" t="inlineStr">
        <is>
          <t>mp</t>
        </is>
      </c>
      <c r="E30" s="210" t="n"/>
      <c r="F30" s="211" t="n"/>
      <c r="G30" s="55" t="n">
        <v>0</v>
      </c>
      <c r="H30" s="56" t="n"/>
      <c r="I30" s="56" t="n"/>
      <c r="J30" s="56" t="n"/>
      <c r="K30" s="56" t="n"/>
      <c r="L30" s="56" t="n"/>
    </row>
    <row r="31" ht="15.75" customFormat="1" customHeight="1" s="263">
      <c r="A31" s="157" t="n"/>
      <c r="B31" s="158" t="n"/>
      <c r="C31" s="159" t="inlineStr">
        <is>
          <t>Centura ba</t>
        </is>
      </c>
      <c r="D31" s="158" t="n"/>
      <c r="E31" s="158" t="n"/>
      <c r="F31" s="158" t="n"/>
      <c r="G31" s="52" t="n"/>
    </row>
    <row r="32" ht="67.5" customFormat="1" customHeight="1" s="263">
      <c r="A32" s="123" t="n">
        <v>27</v>
      </c>
      <c r="B32" s="13" t="inlineStr">
        <is>
          <t>CB04D1</t>
        </is>
      </c>
      <c r="C32" s="13" t="inlineStr">
        <is>
          <t>Cofraje pentru beton armat în placi, grinzi si stâlpi. din panouri refolosibile, cu astereala din scânduri de rasinoase,scurte si subscurte,exclusiv sustinerile, la constructii având înaltimea între 20 si 35 m inclusiv, la stalpi si cadre</t>
        </is>
      </c>
      <c r="D32" s="13" t="inlineStr">
        <is>
          <t>mp</t>
        </is>
      </c>
      <c r="E32" s="210" t="inlineStr">
        <is>
          <t>1.0</t>
        </is>
      </c>
      <c r="F32" s="211">
        <f>E32</f>
        <v/>
      </c>
      <c r="G32" s="52">
        <f>ROUNDUP(($E$2*('Date cladire'!B75*('Date cladire'!B78+0.1)*2+'Date cladire'!B76*('Date cladire'!B80+0.1)*2)),0)</f>
        <v/>
      </c>
      <c r="H32" s="263">
        <f>ROUNDUP(($E$2*('Date cladire'!D75*('Date cladire'!D78+0.1)*2+'Date cladire'!D76*('Date cladire'!D80+0.1)*2)),0)</f>
        <v/>
      </c>
    </row>
    <row r="33" ht="27" customFormat="1" customHeight="1" s="263">
      <c r="A33" s="123" t="n">
        <v>28</v>
      </c>
      <c r="B33" s="13" t="inlineStr">
        <is>
          <t>2903830</t>
        </is>
      </c>
      <c r="C33" s="13" t="inlineStr">
        <is>
          <t>Scindura rasin lunga    tiv cls C   gR = 24mm L = 3,00m s 942</t>
        </is>
      </c>
      <c r="D33" s="13" t="inlineStr">
        <is>
          <t>mc</t>
        </is>
      </c>
      <c r="E33" s="210" t="inlineStr">
        <is>
          <t>1.0</t>
        </is>
      </c>
      <c r="F33" s="211">
        <f>E33</f>
        <v/>
      </c>
      <c r="G33" s="52">
        <f>0.024*G32</f>
        <v/>
      </c>
    </row>
    <row r="34" ht="67.5" customFormat="1" customHeight="1" s="263">
      <c r="A34" s="123" t="n">
        <v>29</v>
      </c>
      <c r="B34" s="13" t="inlineStr">
        <is>
          <t>CZ0302D1 [1]</t>
        </is>
      </c>
      <c r="C34" s="13" t="inlineStr">
        <is>
          <t>Confectionarea armaturilor din otel beton pentru beton armat în elemente de constructii turnate în cofraje, exclusiv cele executate în cofraje glisante fasonarea barelor pentru pereti, grinzi, stâlpi si diafragme la constructii obisnuite, în atelier</t>
        </is>
      </c>
      <c r="D34" s="13" t="inlineStr">
        <is>
          <t>kg</t>
        </is>
      </c>
      <c r="E34" s="210" t="inlineStr">
        <is>
          <t>1.0</t>
        </is>
      </c>
      <c r="F34" s="211">
        <f>E34</f>
        <v/>
      </c>
      <c r="G34" s="55">
        <f>$E$2*232.26</f>
        <v/>
      </c>
      <c r="H34" s="56" t="n"/>
      <c r="I34" s="56" t="n"/>
      <c r="J34" s="56" t="n"/>
      <c r="K34" s="56" t="n"/>
      <c r="L34" s="56" t="n"/>
      <c r="Q34" s="147" t="inlineStr">
        <is>
          <t>(de luat din plansa de rezi)</t>
        </is>
      </c>
    </row>
    <row r="35" ht="67.5" customFormat="1" customHeight="1" s="263">
      <c r="A35" s="123" t="n">
        <v>30</v>
      </c>
      <c r="B35" s="13" t="inlineStr">
        <is>
          <t>CZ0301E1</t>
        </is>
      </c>
      <c r="C35" s="13" t="inlineStr">
        <is>
          <t>Confectionarea armaturilor din otel beton pentru beton armat în fundatii fasonarea barelor pentru fundatii izolate (inclusiv fundatii pahar) continui si radiere, în ateliere centralizate PC 52, D= 10-16 mm ;</t>
        </is>
      </c>
      <c r="D35" s="13" t="inlineStr">
        <is>
          <t>kg</t>
        </is>
      </c>
      <c r="E35" s="210" t="inlineStr">
        <is>
          <t>1.0</t>
        </is>
      </c>
      <c r="F35" s="211">
        <f>E35</f>
        <v/>
      </c>
      <c r="G35" s="55">
        <f>$E$2*539.24-G34</f>
        <v/>
      </c>
      <c r="H35" s="56" t="n"/>
      <c r="I35" s="56" t="n"/>
      <c r="J35" s="56" t="n"/>
      <c r="K35" s="56" t="n"/>
      <c r="L35" s="56" t="n"/>
      <c r="Q35" s="147" t="inlineStr">
        <is>
          <t>(de luat din plansa de rezi)</t>
        </is>
      </c>
    </row>
    <row r="36" ht="81" customFormat="1" customHeight="1" s="263">
      <c r="A36" s="123" t="n">
        <v>31</v>
      </c>
      <c r="B36" s="13" t="inlineStr">
        <is>
          <t>CC02C1 [1]</t>
        </is>
      </c>
      <c r="C36" s="13" t="inlineStr">
        <is>
          <t xml:space="preserve">Montarea armaturilor din otel-beton în elemente de constructii, exclusiv cele din constructiile executate în cofraje glisante la constructii executate la o înaltime pâna la 35 m inclusiv, din bare fasonate având diametrul pâna la 18 mm inclusiv, in </t>
        </is>
      </c>
      <c r="D36" s="13" t="inlineStr">
        <is>
          <t>kg</t>
        </is>
      </c>
      <c r="E36" s="210" t="inlineStr">
        <is>
          <t>1.0</t>
        </is>
      </c>
      <c r="F36" s="211">
        <f>E36</f>
        <v/>
      </c>
      <c r="G36" s="52">
        <f>G34+G35</f>
        <v/>
      </c>
    </row>
    <row r="37" ht="40.5" customFormat="1" customHeight="1" s="263">
      <c r="A37" s="123" t="n">
        <v>32</v>
      </c>
      <c r="B37" s="13" t="inlineStr">
        <is>
          <t>CP21A1</t>
        </is>
      </c>
      <c r="C37" s="13" t="inlineStr">
        <is>
          <t xml:space="preserve">Innadirea prin suprapunere a armaturilor din otel beton, prin sudura electrica In pozitia de montaj a prefabricatelor cu bare din stpb,d=8-10mm  </t>
        </is>
      </c>
      <c r="D37" s="13" t="inlineStr">
        <is>
          <t>buc</t>
        </is>
      </c>
      <c r="E37" s="210" t="inlineStr">
        <is>
          <t>1.0</t>
        </is>
      </c>
      <c r="F37" s="211">
        <f>E37</f>
        <v/>
      </c>
      <c r="G37" s="52">
        <f>ROUND(($E$2*('Date cladire'!B75+'Date cladire'!B76)/3*4),0)</f>
        <v/>
      </c>
      <c r="H37" s="263">
        <f>ROUND(($E$2*('Date cladire'!D75+'Date cladire'!D76)/3*4),0)</f>
        <v/>
      </c>
    </row>
    <row r="38" ht="54" customFormat="1" customHeight="1" s="263">
      <c r="A38" s="123" t="n">
        <v>33</v>
      </c>
      <c r="B38" s="13" t="inlineStr">
        <is>
          <t>CA07L1 [2]</t>
        </is>
      </c>
      <c r="C38" s="13" t="inlineStr">
        <is>
          <t>Turnarea cu pompa a betonului armat în elementele constructiilor, exclusiv cele executate în cofraje glisante la constructii cu înaltimea între pana la 30 m, în stâlpi si centuri izolate;</t>
        </is>
      </c>
      <c r="D38" s="13" t="inlineStr">
        <is>
          <t>mc</t>
        </is>
      </c>
      <c r="E38" s="210" t="inlineStr">
        <is>
          <t>1.0</t>
        </is>
      </c>
      <c r="F38" s="211">
        <f>E38</f>
        <v/>
      </c>
      <c r="G38" s="52">
        <f>$E$2*('Date cladire'!B75*'Date cladire'!B77*'Date cladire'!B78+'Date cladire'!B76*'Date cladire'!B79*'Date cladire'!B80)</f>
        <v/>
      </c>
      <c r="H38" s="263">
        <f>$E$2*('Date cladire'!D75*'Date cladire'!D77*'Date cladire'!D78+'Date cladire'!D76*'Date cladire'!D79*'Date cladire'!D80)</f>
        <v/>
      </c>
    </row>
    <row r="39" ht="30" customFormat="1" customHeight="1" s="263">
      <c r="A39" s="123" t="n">
        <v>34</v>
      </c>
      <c r="B39" s="148" t="inlineStr">
        <is>
          <t>"0002850"</t>
        </is>
      </c>
      <c r="C39" s="148" t="inlineStr">
        <is>
          <t>Beton de ciment  B 350 clasa C20/2</t>
        </is>
      </c>
      <c r="D39" s="13" t="inlineStr">
        <is>
          <t>mc</t>
        </is>
      </c>
      <c r="E39" s="210" t="inlineStr">
        <is>
          <t>1.0</t>
        </is>
      </c>
      <c r="F39" s="211">
        <f>E39</f>
        <v/>
      </c>
      <c r="G39" s="52">
        <f>1.008*G38</f>
        <v/>
      </c>
      <c r="L39" s="263" t="inlineStr">
        <is>
          <t>norma schimbata</t>
        </is>
      </c>
    </row>
    <row r="40" ht="27" customFormat="1" customHeight="1" s="263">
      <c r="A40" s="123" t="n">
        <v>35</v>
      </c>
      <c r="B40" s="13" t="inlineStr">
        <is>
          <t>TRA06A10 [3]</t>
        </is>
      </c>
      <c r="C40" s="13" t="inlineStr">
        <is>
          <t xml:space="preserve">Transportul rutier al betonului sau mortarului cu autobetoniera de 5,5mc distanta =10km  </t>
        </is>
      </c>
      <c r="D40" s="13" t="inlineStr">
        <is>
          <t>tona</t>
        </is>
      </c>
      <c r="E40" s="210" t="inlineStr">
        <is>
          <t>1.0</t>
        </is>
      </c>
      <c r="F40" s="211">
        <f>E40</f>
        <v/>
      </c>
      <c r="G40" s="52">
        <f>G38*2.5</f>
        <v/>
      </c>
    </row>
    <row r="41" ht="29.4" customFormat="1" customHeight="1" s="263">
      <c r="A41" s="123" t="n">
        <v>36</v>
      </c>
      <c r="B41" s="13" t="inlineStr">
        <is>
          <t>CC09A1 [16]</t>
        </is>
      </c>
      <c r="C41" s="13" t="inlineStr">
        <is>
          <t>Ancorarea chimica a armaturilor FI 12mm L= 200mm</t>
        </is>
      </c>
      <c r="D41" s="13" t="inlineStr">
        <is>
          <t>buc</t>
        </is>
      </c>
      <c r="E41" s="210" t="inlineStr">
        <is>
          <t>1.0</t>
        </is>
      </c>
      <c r="F41" s="211">
        <f>E41</f>
        <v/>
      </c>
      <c r="G41" s="52">
        <f>ROUNDUP(($E$2*('Date cladire'!B75+'Date cladire'!B76)),0)</f>
        <v/>
      </c>
      <c r="H41" s="263">
        <f>ROUNDUP(($E$2*('Date cladire'!D75+'Date cladire'!D76)),0)</f>
        <v/>
      </c>
    </row>
    <row r="42" ht="27" customFormat="1" customHeight="1" s="263">
      <c r="A42" s="123" t="n">
        <v>37</v>
      </c>
      <c r="B42" s="13" t="inlineStr">
        <is>
          <t>TRA02A10</t>
        </is>
      </c>
      <c r="C42" s="13" t="inlineStr">
        <is>
          <t xml:space="preserve">Transportul rutier al materialelor,semifabricatelor cu autocamionul pe dist.= ...10 km.  </t>
        </is>
      </c>
      <c r="D42" s="13" t="inlineStr">
        <is>
          <t>tona</t>
        </is>
      </c>
      <c r="E42" s="210" t="inlineStr">
        <is>
          <t>1.0</t>
        </is>
      </c>
      <c r="F42" s="211">
        <f>E42</f>
        <v/>
      </c>
      <c r="G42" s="52">
        <f>(G32*0.024*800+G34+G35)/1000</f>
        <v/>
      </c>
    </row>
    <row r="43" ht="40.5" customFormat="1" customHeight="1" s="263">
      <c r="A43" s="123" t="n">
        <v>38</v>
      </c>
      <c r="B43" s="13" t="inlineStr">
        <is>
          <t>TRI1AC13E1</t>
        </is>
      </c>
      <c r="C43" s="13" t="inlineStr">
        <is>
          <t>Descarcare...materiale gr.c-ambalate,10-50 kg deplas.prin purtare pina la 10m,asez..auto-rampa,teren ctg</t>
        </is>
      </c>
      <c r="D43" s="13" t="inlineStr">
        <is>
          <t>tona</t>
        </is>
      </c>
      <c r="E43" s="210" t="inlineStr">
        <is>
          <t>1.0</t>
        </is>
      </c>
      <c r="F43" s="211">
        <f>E43</f>
        <v/>
      </c>
      <c r="G43" s="52">
        <f>G42</f>
        <v/>
      </c>
    </row>
    <row r="44" ht="27" customFormat="1" customHeight="1" s="263">
      <c r="A44" s="123" t="n">
        <v>39</v>
      </c>
      <c r="B44" s="13" t="inlineStr">
        <is>
          <t>TRB05A22</t>
        </is>
      </c>
      <c r="C44" s="13" t="inlineStr">
        <is>
          <t xml:space="preserve">Transportul materialelor prin purtat direct.materiale...incomode sub 25 kg distanta 20m  </t>
        </is>
      </c>
      <c r="D44" s="13" t="inlineStr">
        <is>
          <t>tona</t>
        </is>
      </c>
      <c r="E44" s="210" t="inlineStr">
        <is>
          <t>1.0</t>
        </is>
      </c>
      <c r="F44" s="211">
        <f>E44</f>
        <v/>
      </c>
      <c r="G44" s="52">
        <f>G42</f>
        <v/>
      </c>
    </row>
    <row r="45" ht="15" customHeight="1" s="23">
      <c r="G45" s="63" t="n"/>
    </row>
    <row r="46" ht="14.4" customHeight="1" s="23">
      <c r="C46" s="160" t="inlineStr">
        <is>
          <t xml:space="preserve">Demontare sarpanta + invelitoare existenta </t>
        </is>
      </c>
      <c r="G46" s="63" t="n"/>
    </row>
    <row r="47" ht="42" customHeight="1" s="23">
      <c r="A47" s="161" t="n">
        <v>40</v>
      </c>
      <c r="B47" s="162" t="inlineStr">
        <is>
          <t>RPCT25F1</t>
        </is>
      </c>
      <c r="C47" s="162" t="inlineStr">
        <is>
          <t xml:space="preserve">Desfacerea sarpantelor din lemn si a elementelor componente...a sarpantelor grele   </t>
        </is>
      </c>
      <c r="D47" s="162" t="inlineStr">
        <is>
          <t>mp</t>
        </is>
      </c>
      <c r="E47" s="163" t="n"/>
      <c r="F47" s="163" t="n"/>
      <c r="G47" s="164">
        <f>$E$2*'Date cladire'!B21*0</f>
        <v/>
      </c>
      <c r="H47">
        <f>$E$2*'Date cladire'!D21*0</f>
        <v/>
      </c>
      <c r="M47" s="45" t="inlineStr">
        <is>
          <t>se verifica daca suprafata de demontare e egala cu cea la montare</t>
        </is>
      </c>
      <c r="N47" s="264" t="inlineStr">
        <is>
          <t>se lasa cantitati doar daca sarpanta e din arh blocului (in formula e *0 pt a nu aparea cantitati- se sterge 0 si ramane cantitatea)</t>
        </is>
      </c>
    </row>
    <row r="48" ht="27" customFormat="1" customHeight="1" s="263">
      <c r="A48" s="165" t="n">
        <v>41</v>
      </c>
      <c r="B48" s="166">
        <f>"RPCT26XA"</f>
        <v/>
      </c>
      <c r="C48" s="166" t="inlineStr">
        <is>
          <t>Desfacerea invelitorilor din tabla zn sau neagra 0,4-0,5 mm incl.reconditionarea materialului</t>
        </is>
      </c>
      <c r="D48" s="166">
        <f>"mp"</f>
        <v/>
      </c>
      <c r="E48" s="233" t="inlineStr">
        <is>
          <t>1.0</t>
        </is>
      </c>
      <c r="F48" s="229">
        <f>E48</f>
        <v/>
      </c>
      <c r="G48" s="52" t="n">
        <v>0</v>
      </c>
    </row>
    <row r="49" ht="40.5" customFormat="1" customHeight="1" s="263">
      <c r="A49" s="12" t="n">
        <v>42</v>
      </c>
      <c r="B49" s="13">
        <f>"RPCT26XC"</f>
        <v/>
      </c>
      <c r="C49" s="13" t="inlineStr">
        <is>
          <t>Desfacerea invelitorilor din azbociment,eternit,materioal plastic colorat diferit,plane sau ondulate</t>
        </is>
      </c>
      <c r="D49" s="13">
        <f>"mp"</f>
        <v/>
      </c>
      <c r="E49" s="210" t="inlineStr">
        <is>
          <t>1.0</t>
        </is>
      </c>
      <c r="F49" s="211">
        <f>E49</f>
        <v/>
      </c>
      <c r="G49" s="52" t="n">
        <v>0</v>
      </c>
    </row>
    <row r="50" ht="27" customFormat="1" customHeight="1" s="263">
      <c r="A50" s="12" t="n">
        <v>43</v>
      </c>
      <c r="B50" s="13">
        <f>"RPCT26XB"</f>
        <v/>
      </c>
      <c r="C50" s="13" t="inlineStr">
        <is>
          <t>Desfacerea invelitorilor din olane,tigle solzi sauprofilate cu jgheaburi asezate pe sipci batute</t>
        </is>
      </c>
      <c r="D50" s="13">
        <f>"mp"</f>
        <v/>
      </c>
      <c r="E50" s="210" t="inlineStr">
        <is>
          <t>1.0</t>
        </is>
      </c>
      <c r="F50" s="211">
        <f>E50</f>
        <v/>
      </c>
      <c r="G50" s="52">
        <f>$E$2*1.25*'Date cladire'!B21*0</f>
        <v/>
      </c>
      <c r="H50" s="263">
        <f>$E$2*1.25*'Date cladire'!D21*0</f>
        <v/>
      </c>
    </row>
    <row r="51" ht="34.2" customFormat="1" customHeight="1" s="263">
      <c r="A51" s="12">
        <f>"4"</f>
        <v/>
      </c>
      <c r="B51" s="87">
        <f>"RPCXH13B"</f>
        <v/>
      </c>
      <c r="C51" s="13" t="inlineStr">
        <is>
          <t xml:space="preserve">Desfacerea ...asterelei invelitorii din scindura sau pfl incl. sortare si stivuire materiale.   </t>
        </is>
      </c>
      <c r="D51" s="87">
        <f>"mp"</f>
        <v/>
      </c>
      <c r="E51" s="210" t="inlineStr">
        <is>
          <t>1.0</t>
        </is>
      </c>
      <c r="F51" s="211">
        <f>E51</f>
        <v/>
      </c>
      <c r="G51" s="52">
        <f>G48+G50+G49</f>
        <v/>
      </c>
    </row>
    <row r="52" ht="27" customFormat="1" customHeight="1" s="263">
      <c r="A52" s="12" t="n">
        <v>40</v>
      </c>
      <c r="B52" s="13">
        <f>"RPCH45A1 [4]"</f>
        <v/>
      </c>
      <c r="C52" s="13" t="inlineStr">
        <is>
          <t>Jgheab din lemn...pentru evacuarea tigle demontate de pe acoperis</t>
        </is>
      </c>
      <c r="D52" s="13">
        <f>"m"</f>
        <v/>
      </c>
      <c r="E52" s="210" t="inlineStr">
        <is>
          <t>1.0</t>
        </is>
      </c>
      <c r="F52" s="211">
        <f>E52</f>
        <v/>
      </c>
      <c r="G52" s="52">
        <f>$E$2*'Date cladire'!B12*0</f>
        <v/>
      </c>
      <c r="H52" s="263">
        <f>$E$2*'Date cladire'!D12*0</f>
        <v/>
      </c>
    </row>
    <row r="53" ht="26.4" customHeight="1" s="23">
      <c r="A53" s="10" t="n">
        <v>44</v>
      </c>
      <c r="B53" s="11" t="inlineStr">
        <is>
          <t>TRB05A22</t>
        </is>
      </c>
      <c r="C53" s="11" t="inlineStr">
        <is>
          <t xml:space="preserve">Transportul materialelor prin purtat direct.materiale...incomode sub 25 kg distanta 20m     </t>
        </is>
      </c>
      <c r="D53" s="11" t="inlineStr">
        <is>
          <t>tona</t>
        </is>
      </c>
      <c r="E53" s="26" t="n"/>
      <c r="F53" s="26" t="n"/>
      <c r="G53" s="63">
        <f>(G47*60+G48*5+G49*16+G50*0.08+G50*16*2.9+G51*0.024*800)/1000</f>
        <v/>
      </c>
    </row>
    <row r="54" ht="40.2" customHeight="1" s="23">
      <c r="A54" s="10" t="n">
        <v>45</v>
      </c>
      <c r="B54" s="11" t="inlineStr">
        <is>
          <t>TRI1AA01F3</t>
        </is>
      </c>
      <c r="C54" s="11" t="inlineStr">
        <is>
          <t xml:space="preserve">Incarcarea materialelor, grupa a-grele si...marunte,prin tran.pina la 10m rampa sau teren-auto cate     </t>
        </is>
      </c>
      <c r="D54" s="11" t="inlineStr">
        <is>
          <t>tona</t>
        </is>
      </c>
      <c r="E54" s="26" t="n"/>
      <c r="F54" s="26" t="n"/>
      <c r="G54" s="63">
        <f>G53</f>
        <v/>
      </c>
    </row>
    <row r="55" ht="36.6" customHeight="1" s="23">
      <c r="A55" s="10" t="n">
        <v>46</v>
      </c>
      <c r="B55" s="11" t="inlineStr">
        <is>
          <t>TRA01A10P</t>
        </is>
      </c>
      <c r="C55" s="11" t="inlineStr">
        <is>
          <t xml:space="preserve">Transportul rutier al...pamantului sau molozului cu autobasculanta dist.=10 km   </t>
        </is>
      </c>
      <c r="D55" s="11" t="inlineStr">
        <is>
          <t>tona</t>
        </is>
      </c>
      <c r="E55" s="26" t="n"/>
      <c r="F55" s="26" t="n"/>
      <c r="G55" s="63">
        <f>G53</f>
        <v/>
      </c>
    </row>
    <row r="56" ht="30" customHeight="1" s="23">
      <c r="A56" s="10" t="n">
        <v>47</v>
      </c>
      <c r="B56" s="11" t="inlineStr">
        <is>
          <t>MDTC4623010</t>
        </is>
      </c>
      <c r="C56" s="11" t="inlineStr">
        <is>
          <t xml:space="preserve">Transport utilaj...10 km-65121002-macara pe pneuri de 0,10-0,149 mn(10-14,9tf)   </t>
        </is>
      </c>
      <c r="D56" s="11" t="inlineStr">
        <is>
          <t>buc</t>
        </is>
      </c>
      <c r="E56" s="26" t="n"/>
      <c r="F56" s="26" t="n"/>
      <c r="G56" s="167">
        <f>2*0</f>
        <v/>
      </c>
      <c r="H56" s="57" t="n"/>
      <c r="I56" s="57" t="n"/>
      <c r="J56" s="57" t="n"/>
      <c r="K56" s="57" t="n"/>
      <c r="L56" s="57" t="n"/>
      <c r="M56" s="154" t="inlineStr">
        <is>
          <t>2 buc pt 1-3 scari
4 buc pt 4-6 scari</t>
        </is>
      </c>
    </row>
    <row r="57" ht="15" customHeight="1" s="23">
      <c r="A57" s="10" t="n">
        <v>48</v>
      </c>
      <c r="B57" s="11" t="inlineStr">
        <is>
          <t>AUT6729</t>
        </is>
      </c>
      <c r="C57" s="11" t="inlineStr">
        <is>
          <t xml:space="preserve">Macara pe   pneuri 10-14,9tf   </t>
        </is>
      </c>
      <c r="D57" s="11" t="inlineStr">
        <is>
          <t>ora</t>
        </is>
      </c>
      <c r="E57" s="26" t="n"/>
      <c r="F57" s="26" t="n"/>
      <c r="G57" s="167">
        <f>2*0</f>
        <v/>
      </c>
      <c r="H57" s="57" t="n"/>
      <c r="I57" s="57" t="n"/>
      <c r="J57" s="57" t="n"/>
      <c r="K57" s="57" t="n"/>
      <c r="L57" s="57" t="n"/>
      <c r="M57" s="155" t="inlineStr">
        <is>
          <t>2 ore ptr o scara</t>
        </is>
      </c>
    </row>
  </sheetData>
  <mergeCells count="7">
    <mergeCell ref="M6:M8"/>
    <mergeCell ref="M4:M5"/>
    <mergeCell ref="N47:N57"/>
    <mergeCell ref="M29:M30"/>
    <mergeCell ref="M3:O3"/>
    <mergeCell ref="F1:J1"/>
    <mergeCell ref="O4:O8"/>
  </mergeCells>
  <pageMargins left="0.7" right="0.7" top="0.75" bottom="0.75" header="0.511811023622047" footer="0.511811023622047"/>
  <pageSetup orientation="portrait" paperSize="9" horizontalDpi="300" verticalDpi="300"/>
</worksheet>
</file>

<file path=xl/worksheets/sheet27.xml><?xml version="1.0" encoding="utf-8"?>
<worksheet xmlns="http://schemas.openxmlformats.org/spreadsheetml/2006/main">
  <sheetPr>
    <outlinePr summaryBelow="1" summaryRight="1"/>
    <pageSetUpPr/>
  </sheetPr>
  <dimension ref="A1:S23"/>
  <sheetViews>
    <sheetView zoomScale="85" zoomScaleNormal="85" workbookViewId="0">
      <pane xSplit="1" ySplit="3" topLeftCell="B4" activePane="bottomRight" state="frozen"/>
      <selection pane="topRight" activeCell="B1" sqref="B1"/>
      <selection pane="bottomLeft" activeCell="A4" sqref="A4"/>
      <selection pane="bottomRight" activeCell="T19" sqref="T19"/>
    </sheetView>
  </sheetViews>
  <sheetFormatPr baseColWidth="8" defaultColWidth="9.109375" defaultRowHeight="14.4"/>
  <cols>
    <col width="5.88671875" customWidth="1" style="280" min="1" max="1"/>
    <col width="10.88671875" customWidth="1" style="280" min="2" max="2"/>
    <col width="52.33203125" customWidth="1" style="280" min="3" max="3"/>
    <col width="10.88671875" customWidth="1" style="280" min="4" max="6"/>
    <col width="9.109375" customWidth="1" style="280" min="7" max="13"/>
    <col width="37" customWidth="1" style="280" min="14" max="14"/>
    <col width="9.109375" customWidth="1" style="280" min="15" max="257"/>
  </cols>
  <sheetData>
    <row r="1" ht="30" customFormat="1" customHeight="1" s="263">
      <c r="B1" s="22">
        <f>'Structura Investitie'!D33</f>
        <v/>
      </c>
      <c r="C1" s="59">
        <f>'Structura Investitie'!C33</f>
        <v/>
      </c>
    </row>
    <row r="2" ht="15" customFormat="1" customHeight="1" s="263">
      <c r="D2" s="22">
        <f>'Date cladire'!A83</f>
        <v/>
      </c>
      <c r="E2" s="22">
        <f>'Date cladire'!B83</f>
        <v/>
      </c>
    </row>
    <row r="3" ht="56.25" customFormat="1" customHeight="1" s="263">
      <c r="A3" s="48">
        <f>"NrCrt"</f>
        <v/>
      </c>
      <c r="B3" s="48">
        <f>"Simbol"</f>
        <v/>
      </c>
      <c r="C3" s="48" t="inlineStr">
        <is>
          <t>Denumire</t>
        </is>
      </c>
      <c r="D3" s="48">
        <f>"UM"</f>
        <v/>
      </c>
      <c r="E3" s="48">
        <f>"Consum"</f>
        <v/>
      </c>
      <c r="F3" s="48">
        <f>"Cantitate"</f>
        <v/>
      </c>
      <c r="G3" s="49">
        <f>'Date cladire'!B2</f>
        <v/>
      </c>
      <c r="H3" s="49">
        <f>'Date cladire'!D2</f>
        <v/>
      </c>
      <c r="I3" s="49" t="n"/>
      <c r="J3" s="49" t="n"/>
      <c r="K3" s="49" t="n"/>
      <c r="L3" s="49" t="n"/>
      <c r="M3" s="49" t="n"/>
      <c r="N3" s="49" t="n"/>
      <c r="O3" s="49" t="n"/>
      <c r="P3" s="49" t="n"/>
      <c r="Q3" s="49" t="n"/>
      <c r="R3" s="49" t="n"/>
      <c r="S3" s="49" t="n"/>
    </row>
    <row r="4" ht="40.5" customFormat="1" customHeight="1" s="263">
      <c r="A4" s="12">
        <f>"1"</f>
        <v/>
      </c>
      <c r="B4" s="87">
        <f>"TCC28A2"</f>
        <v/>
      </c>
      <c r="C4" s="13" t="inlineStr">
        <is>
          <t xml:space="preserve">Cablu coaxial pentru instalatii radio si telecomunicatii, cu diametrul de pâna ia 20 mm...demontare  </t>
        </is>
      </c>
      <c r="D4" s="87">
        <f>"m"</f>
        <v/>
      </c>
      <c r="E4" s="210" t="inlineStr">
        <is>
          <t>1.0</t>
        </is>
      </c>
      <c r="F4" s="211">
        <f>E4</f>
        <v/>
      </c>
      <c r="G4" s="52">
        <f>$E$2*'Date cladire'!B66</f>
        <v/>
      </c>
      <c r="H4">
        <f>$E$2*'Date cladire'!D66</f>
        <v/>
      </c>
    </row>
    <row r="5" ht="40.5" customFormat="1" customHeight="1" s="263">
      <c r="A5" s="12">
        <f>"2"</f>
        <v/>
      </c>
      <c r="B5" s="87">
        <f>"TCC28A1"</f>
        <v/>
      </c>
      <c r="C5" s="13" t="inlineStr">
        <is>
          <t xml:space="preserve">Cablu coaxial pentru instalatii radio si telecomunicatii, cu diametrul de pâna ia 20 mm...montare  </t>
        </is>
      </c>
      <c r="D5" s="87">
        <f>"m"</f>
        <v/>
      </c>
      <c r="E5" s="210" t="inlineStr">
        <is>
          <t>1.0</t>
        </is>
      </c>
      <c r="F5" s="211">
        <f>E5</f>
        <v/>
      </c>
      <c r="G5" s="52">
        <f>G4</f>
        <v/>
      </c>
    </row>
    <row r="6" ht="40.2" customFormat="1" customHeight="1" s="263">
      <c r="A6" s="12">
        <f>"3"</f>
        <v/>
      </c>
      <c r="B6" s="87">
        <f>"+EA01A"</f>
        <v/>
      </c>
      <c r="C6" s="13" t="inlineStr">
        <is>
          <t xml:space="preserve">Canal cablu 60x40 mm din PVC pentru mascare cabluri </t>
        </is>
      </c>
      <c r="D6" s="87">
        <f>"m"</f>
        <v/>
      </c>
      <c r="E6" s="210" t="inlineStr">
        <is>
          <t>1.0</t>
        </is>
      </c>
      <c r="F6" s="211">
        <f>E6</f>
        <v/>
      </c>
      <c r="G6" s="52">
        <f>G4</f>
        <v/>
      </c>
      <c r="N6" s="263" t="inlineStr">
        <is>
          <t>daca exista contoare electrice si au cabluri se prinde aici lungimea lor (87,15 + x lungime - se modifica formula)</t>
        </is>
      </c>
    </row>
    <row r="7" ht="40.5" customFormat="1" customHeight="1" s="263">
      <c r="A7" s="12">
        <f>"4"</f>
        <v/>
      </c>
      <c r="B7" s="87">
        <f>"RPIXC13A [1]"</f>
        <v/>
      </c>
      <c r="C7" s="13" t="inlineStr">
        <is>
          <t>Distantarea de perete a instalatiilor de gaze naturale de pe fatada pentru a face loc sistemului termoizolant</t>
        </is>
      </c>
      <c r="D7" s="87">
        <f>"m"</f>
        <v/>
      </c>
      <c r="E7" s="210" t="inlineStr">
        <is>
          <t>1.0</t>
        </is>
      </c>
      <c r="F7" s="211">
        <f>E7</f>
        <v/>
      </c>
      <c r="G7" s="52">
        <f>$E$2*'Date cladire'!B67</f>
        <v/>
      </c>
      <c r="H7">
        <f>$E$2*'Date cladire'!D67</f>
        <v/>
      </c>
    </row>
    <row r="8" ht="54" customFormat="1" customHeight="1" s="263">
      <c r="A8" s="12">
        <f>"5"</f>
        <v/>
      </c>
      <c r="B8" s="87">
        <f>"RPGC11D1 [2]"</f>
        <v/>
      </c>
      <c r="C8" s="13" t="inlineStr">
        <is>
          <t>Demontare si remontare post de reglare gaze naturale cu debit de 20 - 80mc/h, amplasat aparent pe zid in cutie tabla, pentru a face loc sistemului termoizolant</t>
        </is>
      </c>
      <c r="D8" s="87">
        <f>"buc"</f>
        <v/>
      </c>
      <c r="E8" s="210" t="inlineStr">
        <is>
          <t>1.0</t>
        </is>
      </c>
      <c r="F8" s="211">
        <f>E8</f>
        <v/>
      </c>
      <c r="G8" s="263">
        <f>'Date cladire'!B68</f>
        <v/>
      </c>
      <c r="H8">
        <f>'Date cladire'!D68</f>
        <v/>
      </c>
    </row>
    <row r="9" ht="40.5" customFormat="1" customHeight="1" s="263">
      <c r="A9" s="12" t="n">
        <v>6</v>
      </c>
      <c r="B9" s="11" t="inlineStr">
        <is>
          <t>W2E04A1# [1]</t>
        </is>
      </c>
      <c r="C9" s="11" t="inlineStr">
        <is>
          <t>Demontare-remontare tablou/contor electric si indepartarea de perete pentru a face loc sistemului termoizolant</t>
        </is>
      </c>
      <c r="D9" s="87">
        <f>"buc"</f>
        <v/>
      </c>
      <c r="E9" s="49" t="n"/>
      <c r="F9" s="49" t="n"/>
      <c r="G9" s="56" t="n">
        <v>0</v>
      </c>
      <c r="H9" s="56" t="n"/>
      <c r="I9" s="56" t="n"/>
      <c r="J9" s="56" t="n"/>
      <c r="K9" s="56" t="n"/>
      <c r="L9" s="56" t="n"/>
    </row>
    <row r="10" ht="81" customFormat="1" customHeight="1" s="263">
      <c r="A10" s="12" t="n">
        <v>7</v>
      </c>
      <c r="B10" s="87">
        <f>"+RPIA02C [3]"</f>
        <v/>
      </c>
      <c r="C10" s="13" t="inlineStr">
        <is>
          <t>Montare prelungitor chit de admisie aer-evacuare gaze arse pentru CT de apartament cu tiraj fortat
 - 5200113  Prelungitor coaxial universal admisie aer /evacuare gaze arse pentru
centrale termice</t>
        </is>
      </c>
      <c r="D10" s="87">
        <f>"buc"</f>
        <v/>
      </c>
      <c r="E10" s="210" t="inlineStr">
        <is>
          <t>1.0</t>
        </is>
      </c>
      <c r="F10" s="211">
        <f>E10</f>
        <v/>
      </c>
      <c r="G10" s="263">
        <f>ROUNDUP($E$2*0.3*'Date cladire'!B31,0)</f>
        <v/>
      </c>
      <c r="H10">
        <f>ROUNDUP($E$2*0.3*'Date cladire'!D31,0)</f>
        <v/>
      </c>
    </row>
    <row r="11" ht="81" customFormat="1" customHeight="1" s="263">
      <c r="A11" s="12" t="n">
        <v>8</v>
      </c>
      <c r="B11" s="87">
        <f>"+RPIA02E [2]"</f>
        <v/>
      </c>
      <c r="C11" s="13" t="inlineStr">
        <is>
          <t>Montare cot pentru chit de admisie aer - evacuare gaze arse pentru CT de apartament cu tiraj fortat
 - 2601281  Cot 45 grd pentru chit evacuare gaze arse/admisie aer pentru CT de apartament</t>
        </is>
      </c>
      <c r="D11" s="87">
        <f>"buc"</f>
        <v/>
      </c>
      <c r="E11" s="210" t="inlineStr">
        <is>
          <t>1.0</t>
        </is>
      </c>
      <c r="F11" s="211">
        <f>E11</f>
        <v/>
      </c>
      <c r="G11" s="263">
        <f>G10</f>
        <v/>
      </c>
    </row>
    <row r="12" ht="27" customFormat="1" customHeight="1" s="263">
      <c r="A12" s="12" t="n">
        <v>9</v>
      </c>
      <c r="B12" s="87">
        <f>"TCC34A2 [1]"</f>
        <v/>
      </c>
      <c r="C12" s="13" t="inlineStr">
        <is>
          <t>Asimilat - Antena de receptie TV montata pe zid - demontare</t>
        </is>
      </c>
      <c r="D12" s="87">
        <f>"buc"</f>
        <v/>
      </c>
      <c r="E12" s="210" t="inlineStr">
        <is>
          <t>1.0</t>
        </is>
      </c>
      <c r="F12" s="211">
        <f>E12</f>
        <v/>
      </c>
      <c r="G12" s="263">
        <f>'Date cladire'!B69</f>
        <v/>
      </c>
      <c r="H12">
        <f>'Date cladire'!D69</f>
        <v/>
      </c>
    </row>
    <row r="13" ht="27" customFormat="1" customHeight="1" s="263">
      <c r="A13" s="12" t="n">
        <v>10</v>
      </c>
      <c r="B13" s="87">
        <f>"TCC34A2 [2]"</f>
        <v/>
      </c>
      <c r="C13" s="13" t="inlineStr">
        <is>
          <t>Asimilat - Antena de receptie TV montata pe zid - remontare</t>
        </is>
      </c>
      <c r="D13" s="87">
        <f>"buc"</f>
        <v/>
      </c>
      <c r="E13" s="210" t="inlineStr">
        <is>
          <t>1.0</t>
        </is>
      </c>
      <c r="F13" s="211">
        <f>E13</f>
        <v/>
      </c>
      <c r="G13" s="263">
        <f>G12</f>
        <v/>
      </c>
    </row>
    <row r="14" ht="27" customFormat="1" customHeight="1" s="263">
      <c r="A14" s="12" t="n">
        <v>11</v>
      </c>
      <c r="B14" s="87">
        <f>"+RPIA01B"</f>
        <v/>
      </c>
      <c r="C14" s="13" t="inlineStr">
        <is>
          <t>Demontare unitate exterioara de aer conditionat</t>
        </is>
      </c>
      <c r="D14" s="87">
        <f>"buc"</f>
        <v/>
      </c>
      <c r="E14" s="210" t="inlineStr">
        <is>
          <t>1.0</t>
        </is>
      </c>
      <c r="F14" s="211">
        <f>E14</f>
        <v/>
      </c>
      <c r="G14" s="263">
        <f>'Date cladire'!B70</f>
        <v/>
      </c>
      <c r="H14">
        <f>'Date cladire'!D70</f>
        <v/>
      </c>
    </row>
    <row r="15" ht="40.5" customFormat="1" customHeight="1" s="263">
      <c r="A15" s="12" t="n">
        <v>12</v>
      </c>
      <c r="B15" s="87">
        <f>"+RPIA02B [1]"</f>
        <v/>
      </c>
      <c r="C15" s="13" t="inlineStr">
        <is>
          <t>Montare unitate exterioara de aer conditionat si prelungirea traseului frigorific</t>
        </is>
      </c>
      <c r="D15" s="87">
        <f>"buc"</f>
        <v/>
      </c>
      <c r="E15" s="210" t="inlineStr">
        <is>
          <t>1.0</t>
        </is>
      </c>
      <c r="F15" s="211">
        <f>E15</f>
        <v/>
      </c>
      <c r="G15" s="263">
        <f>G14</f>
        <v/>
      </c>
    </row>
    <row r="16" ht="27" customFormat="1" customHeight="1" s="263">
      <c r="A16" s="12" t="n">
        <v>13</v>
      </c>
      <c r="B16" s="87">
        <f>"TCB06B2 [1]"</f>
        <v/>
      </c>
      <c r="C16" s="13" t="inlineStr">
        <is>
          <t>Demontare unitate exterioara de apelare interfon</t>
        </is>
      </c>
      <c r="D16" s="87">
        <f>"buc"</f>
        <v/>
      </c>
      <c r="E16" s="210" t="inlineStr">
        <is>
          <t>1.0</t>
        </is>
      </c>
      <c r="F16" s="211">
        <f>E16</f>
        <v/>
      </c>
      <c r="G16" s="263">
        <f>'Date cladire'!B71</f>
        <v/>
      </c>
      <c r="H16">
        <f>'Date cladire'!D71</f>
        <v/>
      </c>
    </row>
    <row r="17" ht="67.5" customFormat="1" customHeight="1" s="263">
      <c r="A17" s="12" t="n">
        <v>14</v>
      </c>
      <c r="B17" s="87">
        <f>"ATA02B [2]"</f>
        <v/>
      </c>
      <c r="C17" s="13" t="inlineStr">
        <is>
          <t>Montare suport pentru fixare unitate exterioara de interfon
 - 2455366 Suport pentru unitate exterioara de
interfon</t>
        </is>
      </c>
      <c r="D17" s="87">
        <f>"buc"</f>
        <v/>
      </c>
      <c r="E17" s="210" t="inlineStr">
        <is>
          <t>1.0</t>
        </is>
      </c>
      <c r="F17" s="211">
        <f>E17</f>
        <v/>
      </c>
      <c r="G17" s="263">
        <f>G16</f>
        <v/>
      </c>
    </row>
    <row r="18" ht="27" customFormat="1" customHeight="1" s="263">
      <c r="A18" s="12" t="n">
        <v>15</v>
      </c>
      <c r="B18" s="87">
        <f>"TCB06B1 [1]"</f>
        <v/>
      </c>
      <c r="C18" s="13" t="inlineStr">
        <is>
          <t xml:space="preserve">Montare unitate exterioara de apelare - interfon </t>
        </is>
      </c>
      <c r="D18" s="87">
        <f>"buc"</f>
        <v/>
      </c>
      <c r="E18" s="210" t="inlineStr">
        <is>
          <t>1.0</t>
        </is>
      </c>
      <c r="F18" s="211">
        <f>E18</f>
        <v/>
      </c>
      <c r="G18" s="263">
        <f>G16</f>
        <v/>
      </c>
    </row>
    <row r="19" ht="40.5" customFormat="1" customHeight="1" s="263">
      <c r="A19" s="12" t="n">
        <v>16</v>
      </c>
      <c r="B19" s="87">
        <f>"RPCXO06A [1]"</f>
        <v/>
      </c>
      <c r="C19" s="13" t="inlineStr">
        <is>
          <t xml:space="preserve">Demontare sistem de inchidere automata a usilor de la intrare aferenta instalatiei de interfon (yala electromagnetica)   </t>
        </is>
      </c>
      <c r="D19" s="87">
        <f>"buc"</f>
        <v/>
      </c>
      <c r="E19" s="210" t="inlineStr">
        <is>
          <t>1.0</t>
        </is>
      </c>
      <c r="F19" s="211">
        <f>E19</f>
        <v/>
      </c>
      <c r="G19" s="263">
        <f>G16</f>
        <v/>
      </c>
    </row>
    <row r="20" ht="40.5" customFormat="1" customHeight="1" s="263">
      <c r="A20" s="12" t="n">
        <v>17</v>
      </c>
      <c r="B20" s="87">
        <f>"RPCXO06A [2]"</f>
        <v/>
      </c>
      <c r="C20" s="13" t="inlineStr">
        <is>
          <t xml:space="preserve">Montare sistem de inchidere automata a usilor de la intrare aferenta instalatiei de interfon (yala electromagnetica)   </t>
        </is>
      </c>
      <c r="D20" s="87">
        <f>"buc"</f>
        <v/>
      </c>
      <c r="E20" s="210" t="inlineStr">
        <is>
          <t>1.0</t>
        </is>
      </c>
      <c r="F20" s="211">
        <f>E20</f>
        <v/>
      </c>
      <c r="G20" s="263">
        <f>G16</f>
        <v/>
      </c>
    </row>
    <row r="21" ht="42" customFormat="1" customHeight="1" s="263">
      <c r="A21" s="10" t="n">
        <v>18</v>
      </c>
      <c r="B21" s="168" t="inlineStr">
        <is>
          <t xml:space="preserve">RPCP05 [3]
</t>
        </is>
      </c>
      <c r="C21" s="10" t="inlineStr">
        <is>
          <t xml:space="preserve">Demontarea confectiilor metalice orice tip, cu recuperarea materialelor si remontarea lor pe aceeasi pozitie ( scara metalica) </t>
        </is>
      </c>
      <c r="D21" s="10" t="inlineStr">
        <is>
          <t>kg</t>
        </is>
      </c>
      <c r="E21" s="10" t="n"/>
      <c r="F21" s="10" t="n"/>
      <c r="G21" s="169" t="n"/>
      <c r="H21" s="169" t="n"/>
      <c r="I21" s="169" t="n"/>
      <c r="J21" s="169" t="n"/>
      <c r="K21" s="169" t="n"/>
      <c r="N21" s="22" t="inlineStr">
        <is>
          <t>scara metalica in exterior 40 kg la m</t>
        </is>
      </c>
    </row>
    <row r="22" ht="67.5" customHeight="1" s="23">
      <c r="A22" s="78" t="n">
        <v>19</v>
      </c>
      <c r="B22" s="11" t="inlineStr">
        <is>
          <t xml:space="preserve">CL12XB </t>
        </is>
      </c>
      <c r="C22" s="11" t="inlineStr">
        <is>
          <t xml:space="preserve"> Confectii metalice diverse:alte confectii aparente (scari exterioare de incendiu,etc.)
   2601299 -Confectii metalice diverse din profile laminate, tabla, etc</t>
        </is>
      </c>
      <c r="D22" s="79" t="inlineStr">
        <is>
          <t>kg</t>
        </is>
      </c>
      <c r="E22" s="79" t="n"/>
      <c r="F22" s="79" t="n"/>
      <c r="G22" s="170" t="n"/>
      <c r="H22" s="170" t="n"/>
      <c r="I22" s="170" t="n"/>
      <c r="J22" s="170" t="n"/>
      <c r="K22" s="170" t="n"/>
      <c r="N22" s="280" t="inlineStr">
        <is>
          <t>10% din demontare</t>
        </is>
      </c>
    </row>
    <row r="23" ht="54" customHeight="1" s="23">
      <c r="A23" s="78" t="n">
        <v>20</v>
      </c>
      <c r="B23" s="79" t="inlineStr">
        <is>
          <t xml:space="preserve">IZD07C [1] </t>
        </is>
      </c>
      <c r="C23" s="79" t="inlineStr">
        <is>
          <t xml:space="preserve">Grunduirea si vopsirea manuala a confectiilor metalice cu vopsele gata preparate, în urmatoarele variante un strat de grund si doua straturi de vopsea de ulei </t>
        </is>
      </c>
      <c r="D23" s="171" t="inlineStr">
        <is>
          <t>mp</t>
        </is>
      </c>
      <c r="E23" s="26" t="n"/>
      <c r="F23" s="26" t="n"/>
      <c r="G23" s="57" t="n"/>
      <c r="H23" s="57" t="n"/>
      <c r="I23" s="57" t="n"/>
      <c r="J23" s="57" t="n"/>
      <c r="K23" s="57" t="n"/>
      <c r="N23" s="280" t="inlineStr">
        <is>
          <t>lungimea scarii (pe inaltime)</t>
        </is>
      </c>
    </row>
  </sheetData>
  <pageMargins left="0.7" right="0.7" top="0.75" bottom="0.75" header="0.511811023622047" footer="0.511811023622047"/>
  <pageSetup orientation="portrait" paperSize="9" horizontalDpi="300" verticalDpi="300"/>
</worksheet>
</file>

<file path=xl/worksheets/sheet28.xml><?xml version="1.0" encoding="utf-8"?>
<worksheet xmlns="http://schemas.openxmlformats.org/spreadsheetml/2006/main">
  <sheetPr>
    <outlinePr summaryBelow="1" summaryRight="1"/>
    <pageSetUpPr/>
  </sheetPr>
  <dimension ref="A1:T61"/>
  <sheetViews>
    <sheetView zoomScaleNormal="100" workbookViewId="0">
      <pane xSplit="1" ySplit="3" topLeftCell="B4" activePane="bottomRight" state="frozen"/>
      <selection pane="topRight" activeCell="B1" sqref="B1"/>
      <selection pane="bottomLeft" activeCell="A4" sqref="A4"/>
      <selection pane="bottomRight" activeCell="N7" sqref="N7"/>
    </sheetView>
  </sheetViews>
  <sheetFormatPr baseColWidth="8" defaultColWidth="9.109375" defaultRowHeight="14.4"/>
  <cols>
    <col width="8.88671875" customWidth="1" style="280" min="1" max="1"/>
    <col width="10.88671875" customWidth="1" style="280" min="2" max="2"/>
    <col width="58.33203125" customWidth="1" style="280" min="3" max="3"/>
    <col width="10.88671875" customWidth="1" style="280" min="4" max="5"/>
    <col width="15.109375" customWidth="1" style="280" min="6" max="6"/>
    <col width="7.88671875" customWidth="1" style="280" min="7" max="7"/>
    <col width="9.109375" customWidth="1" style="280" min="8" max="13"/>
    <col width="13.5546875" customWidth="1" style="280" min="14" max="14"/>
    <col width="18.44140625" customWidth="1" style="280" min="15" max="15"/>
    <col width="9.109375" customWidth="1" style="280" min="16" max="16"/>
    <col width="12.109375" customWidth="1" style="280" min="17" max="17"/>
    <col width="18.44140625" customWidth="1" style="280" min="18" max="18"/>
    <col width="19.6640625" customWidth="1" style="280" min="19" max="19"/>
    <col width="9.109375" customWidth="1" style="280" min="20" max="257"/>
  </cols>
  <sheetData>
    <row r="1" ht="30" customFormat="1" customHeight="1" s="263">
      <c r="B1" s="22">
        <f>'Structura Investitie'!D34</f>
        <v/>
      </c>
      <c r="C1" s="59">
        <f>'Structura Investitie'!C34</f>
        <v/>
      </c>
    </row>
    <row r="2" ht="15" customFormat="1" customHeight="1" s="263">
      <c r="D2" s="22">
        <f>'Date cladire'!A83</f>
        <v/>
      </c>
      <c r="E2" s="22">
        <f>'Date cladire'!B83</f>
        <v/>
      </c>
    </row>
    <row r="3" ht="24.6" customFormat="1" customHeight="1" s="263">
      <c r="A3" s="48">
        <f>"NrCrt"</f>
        <v/>
      </c>
      <c r="B3" s="48">
        <f>"Simbol"</f>
        <v/>
      </c>
      <c r="C3" s="48" t="inlineStr">
        <is>
          <t>Denumire</t>
        </is>
      </c>
      <c r="D3" s="48">
        <f>"UM"</f>
        <v/>
      </c>
      <c r="E3" s="48">
        <f>"Consum"</f>
        <v/>
      </c>
      <c r="F3" s="48">
        <f>"Cantitate"</f>
        <v/>
      </c>
      <c r="G3" s="49">
        <f>'Date cladire'!B2</f>
        <v/>
      </c>
      <c r="H3" s="49">
        <f>'Date cladire'!D2</f>
        <v/>
      </c>
      <c r="I3" s="49" t="n"/>
      <c r="J3" s="49" t="n"/>
      <c r="K3" s="49" t="n"/>
      <c r="L3" s="49" t="n"/>
      <c r="M3" s="49" t="n"/>
      <c r="N3" s="49" t="n"/>
      <c r="O3" s="49" t="n"/>
      <c r="P3" s="49" t="n"/>
      <c r="Q3" s="49" t="n"/>
      <c r="R3" s="49" t="n"/>
      <c r="S3" s="49" t="n"/>
    </row>
    <row r="4" ht="40.5" customFormat="1" customHeight="1" s="263">
      <c r="A4" s="12">
        <f>"1"</f>
        <v/>
      </c>
      <c r="B4" s="87">
        <f>"RPCT33A1 [3]"</f>
        <v/>
      </c>
      <c r="C4" s="13" t="inlineStr">
        <is>
          <t xml:space="preserve">Demontarea usilor si ferestrelor din lemn - desfiintate de la bucatariile spatiilor individuale </t>
        </is>
      </c>
      <c r="D4" s="87">
        <f>"mp"</f>
        <v/>
      </c>
      <c r="E4" s="210" t="inlineStr">
        <is>
          <t>1.0</t>
        </is>
      </c>
      <c r="F4" s="211">
        <f>E4</f>
        <v/>
      </c>
      <c r="G4" s="52">
        <f>$E$2*'Date cladire'!B64</f>
        <v/>
      </c>
      <c r="H4">
        <f>$E$2*'Date cladire'!D64</f>
        <v/>
      </c>
    </row>
    <row r="5" ht="67.5" customFormat="1" customHeight="1" s="263">
      <c r="A5" s="12">
        <f>"2"</f>
        <v/>
      </c>
      <c r="B5" s="87">
        <f>"RPCJ13C1"</f>
        <v/>
      </c>
      <c r="C5" s="13" t="inlineStr">
        <is>
          <t>Reparatii de tencuieli interioare, în jurul tocurilor si pervazurile la usi si ferestre, de 2 cm grosime, driscuite, executate cu mortar de var-ciment marca 10-T, având spaletii...drepti între 25-35 cm latime</t>
        </is>
      </c>
      <c r="D5" s="87">
        <f>"m"</f>
        <v/>
      </c>
      <c r="E5" s="210" t="inlineStr">
        <is>
          <t>1.0</t>
        </is>
      </c>
      <c r="F5" s="211">
        <f>E5</f>
        <v/>
      </c>
      <c r="G5" s="52">
        <f>$E$2*2*'Date cladire'!B65</f>
        <v/>
      </c>
      <c r="H5">
        <f>$E$2*2*'Date cladire'!D65</f>
        <v/>
      </c>
    </row>
    <row r="6" ht="67.5" customFormat="1" customHeight="1" s="263">
      <c r="A6" s="12">
        <f>"3"</f>
        <v/>
      </c>
      <c r="B6" s="87">
        <f>"RPCJ36A1 [3]"</f>
        <v/>
      </c>
      <c r="C6" s="13" t="inlineStr">
        <is>
          <t>Glet de ipsos si plasa din fibra de sticla pe tencuieli interioare driscuite de 3 mm grosime executat la spaleti pt zugraveli lavabile -  in urma desfiintarii tamplariei la bucatariile spatiilor individuale</t>
        </is>
      </c>
      <c r="D6" s="87">
        <f>"mp"</f>
        <v/>
      </c>
      <c r="E6" s="210" t="inlineStr">
        <is>
          <t>0.5</t>
        </is>
      </c>
      <c r="F6" s="211">
        <f>E6</f>
        <v/>
      </c>
      <c r="G6" s="52">
        <f>G5*0.25</f>
        <v/>
      </c>
    </row>
    <row r="7" ht="81" customFormat="1" customHeight="1" s="263">
      <c r="A7" s="12">
        <f>"4"</f>
        <v/>
      </c>
      <c r="B7" s="87">
        <f>"CN01B+ [2]"</f>
        <v/>
      </c>
      <c r="C7" s="13" t="inlineStr">
        <is>
          <t xml:space="preserve">Vopsitorii interioare cu vopsea lavabila aplicate manual Un strat amorsa (dilutie 1:4) si 2 straturi vopsea lavabila de interior, aplicate pe suprafete interioare noi, foarte absorbante - la bucatariile spatiilor individuale in urma desfiintarii tamplariei </t>
        </is>
      </c>
      <c r="D7" s="87">
        <f>"mp"</f>
        <v/>
      </c>
      <c r="E7" s="210" t="inlineStr">
        <is>
          <t>0.5</t>
        </is>
      </c>
      <c r="F7" s="211">
        <f>E7</f>
        <v/>
      </c>
      <c r="G7" s="52">
        <f>G6</f>
        <v/>
      </c>
    </row>
    <row r="8" ht="40.5" customFormat="1" customHeight="1" s="263">
      <c r="A8" s="12">
        <f>"5"</f>
        <v/>
      </c>
      <c r="B8" s="87">
        <f>"IZF33B+ [4]"</f>
        <v/>
      </c>
      <c r="C8" s="13" t="inlineStr">
        <is>
          <t>Montare profil metalic muchii interioare - la bucatariile spatiilor individuale in urma desfiintarii tamplariei</t>
        </is>
      </c>
      <c r="D8" s="87">
        <f>"ml"</f>
        <v/>
      </c>
      <c r="E8" s="210" t="inlineStr">
        <is>
          <t>1.0</t>
        </is>
      </c>
      <c r="F8" s="211">
        <f>E8</f>
        <v/>
      </c>
      <c r="G8" s="52">
        <f>G5</f>
        <v/>
      </c>
    </row>
    <row r="9" ht="60" customFormat="1" customHeight="1" s="263">
      <c r="A9" s="12">
        <f>"6"</f>
        <v/>
      </c>
      <c r="B9" s="87">
        <f>"RPCT14C1 [1]"</f>
        <v/>
      </c>
      <c r="C9" s="13" t="inlineStr">
        <is>
          <t>Desfacerea tencuielilor la fatade executate...in praf de piatra cu mortar de ciment, in vederea pregatiririi stratului suport pentru termoizolatii</t>
        </is>
      </c>
      <c r="D9" s="87">
        <f>"mp"</f>
        <v/>
      </c>
      <c r="E9" s="210" t="inlineStr">
        <is>
          <t>1.0</t>
        </is>
      </c>
      <c r="F9" s="211">
        <f>E9</f>
        <v/>
      </c>
      <c r="G9" s="52">
        <f>$E$2*0.3*('Date cladire'!B55+'Date cladire'!B60*'Date cladire'!B56+'Date cladire'!B59-G10)</f>
        <v/>
      </c>
      <c r="H9">
        <f>$E$2*0.3*('Date cladire'!D55+'Date cladire'!D60*'Date cladire'!D56+'Date cladire'!D59-G10)</f>
        <v/>
      </c>
      <c r="O9" s="263" t="inlineStr">
        <is>
          <t>FORMULA SCHIMBATA</t>
        </is>
      </c>
      <c r="R9" s="263" t="inlineStr">
        <is>
          <t>FORMULA SCHIMBATA</t>
        </is>
      </c>
      <c r="S9" s="263" t="inlineStr">
        <is>
          <t>1.05*0.3*('Date cladire'!B53+'Date cladire'!B58*'Date cladire'!B54)</t>
        </is>
      </c>
    </row>
    <row r="10" ht="40.5" customFormat="1" customHeight="1" s="263">
      <c r="A10" s="12">
        <f>"7"</f>
        <v/>
      </c>
      <c r="B10" s="87">
        <f>"RPCT29B1 [4]"</f>
        <v/>
      </c>
      <c r="C10" s="13" t="inlineStr">
        <is>
          <t xml:space="preserve">Desfacerea placajelor, din caramida aparenta sau similare in vederea aplicarii termoizolatiilor la pereti   </t>
        </is>
      </c>
      <c r="D10" s="87">
        <f>"mp"</f>
        <v/>
      </c>
      <c r="E10" s="210" t="inlineStr">
        <is>
          <t>1.0</t>
        </is>
      </c>
      <c r="F10" s="211">
        <f>E10</f>
        <v/>
      </c>
      <c r="G10" s="55">
        <f>$E$2*0</f>
        <v/>
      </c>
      <c r="H10" s="56" t="n"/>
      <c r="I10" s="56" t="n"/>
      <c r="J10" s="56" t="n"/>
      <c r="K10" s="56" t="n"/>
      <c r="L10" s="56" t="n"/>
      <c r="M10" s="56" t="n"/>
      <c r="N10" s="56" t="n"/>
    </row>
    <row r="11" ht="81" customFormat="1" customHeight="1" s="263">
      <c r="A11" s="12">
        <f>"8"</f>
        <v/>
      </c>
      <c r="B11" s="87">
        <f>"CF06B1 [2]"</f>
        <v/>
      </c>
      <c r="C11" s="13" t="inlineStr">
        <is>
          <t>Tencuieli exterioare obisnuite executate manual, pe ziduri din caramida, din blocuri mici de beton sau din blocuri de beton celular autoclavizat, cu mortar de var-ciment marca M50-T, in grosime medie de 2,5 cm in vederea pregatirii peretilor pentru termoizolatii;</t>
        </is>
      </c>
      <c r="D11" s="87">
        <f>"mp"</f>
        <v/>
      </c>
      <c r="E11" s="210" t="inlineStr">
        <is>
          <t>1.0</t>
        </is>
      </c>
      <c r="F11" s="211">
        <f>E11</f>
        <v/>
      </c>
      <c r="G11" s="52">
        <f>G9+G10</f>
        <v/>
      </c>
    </row>
    <row r="12" ht="27" customFormat="1" customHeight="1" s="263">
      <c r="A12" s="12">
        <f>"9"</f>
        <v/>
      </c>
      <c r="B12" s="87">
        <f>"TRA06A10"</f>
        <v/>
      </c>
      <c r="C12" s="13" t="inlineStr">
        <is>
          <t xml:space="preserve">Transportul rutier al betonului-mortarului cu autobetoniera de...5,5mc dist.  =10km  </t>
        </is>
      </c>
      <c r="D12" s="87">
        <f>"tona"</f>
        <v/>
      </c>
      <c r="E12" s="210" t="inlineStr">
        <is>
          <t>1.0</t>
        </is>
      </c>
      <c r="F12" s="211">
        <f>E12</f>
        <v/>
      </c>
      <c r="G12" s="52">
        <f>(G11*0.025*2100)/1000</f>
        <v/>
      </c>
    </row>
    <row r="13" ht="67.5" customFormat="1" customHeight="1" s="263">
      <c r="A13" s="12">
        <f>"10"</f>
        <v/>
      </c>
      <c r="B13" s="87">
        <f>"RPCJ28C1 [1]"</f>
        <v/>
      </c>
      <c r="C13" s="13" t="inlineStr">
        <is>
          <t>Reparatii de tencuieli exterioare driscuite, la tavane din beton armat, monolit sau prefabricat, executate cu mortar de ciment-var marca 100-T, pentru sprit si mortar de var-ciment marca 25-T pentru...stratul vizibil</t>
        </is>
      </c>
      <c r="D13" s="87">
        <f>"mp"</f>
        <v/>
      </c>
      <c r="E13" s="210" t="inlineStr">
        <is>
          <t>9.44</t>
        </is>
      </c>
      <c r="F13" s="211">
        <f>E13</f>
        <v/>
      </c>
      <c r="G13" s="55">
        <f>$E$2*21.18</f>
        <v/>
      </c>
      <c r="H13" s="56" t="n"/>
      <c r="I13" s="56" t="n"/>
      <c r="J13" s="56" t="n"/>
      <c r="K13" s="56" t="n"/>
      <c r="L13" s="56" t="n"/>
      <c r="M13" s="56" t="n"/>
      <c r="N13" s="56" t="n"/>
      <c r="O13" s="172" t="inlineStr">
        <is>
          <t>copertina de acces in bloc</t>
        </is>
      </c>
    </row>
    <row r="14" ht="54" customFormat="1" customHeight="1" s="263">
      <c r="A14" s="12">
        <f>"11"</f>
        <v/>
      </c>
      <c r="B14" s="87">
        <f>"CF10C1[ 11 ]"</f>
        <v/>
      </c>
      <c r="C14" s="13" t="inlineStr">
        <is>
          <t xml:space="preserve">Glet de ipsos aditivat, din produse uscate predozate, aplicat manual in 2 straturi pe tencuieli exterioare driscuite la tavane si pereti exteriori; </t>
        </is>
      </c>
      <c r="D14" s="87">
        <f>"mp"</f>
        <v/>
      </c>
      <c r="E14" s="210" t="inlineStr">
        <is>
          <t>9.44</t>
        </is>
      </c>
      <c r="F14" s="211">
        <f>E14</f>
        <v/>
      </c>
      <c r="G14" s="52">
        <f>G13</f>
        <v/>
      </c>
    </row>
    <row r="15" ht="108" customFormat="1" customHeight="1" s="263">
      <c r="A15" s="12">
        <f>"12"</f>
        <v/>
      </c>
      <c r="B15" s="87">
        <f>"+CN01B"</f>
        <v/>
      </c>
      <c r="C15" s="13" t="inlineStr">
        <is>
          <t xml:space="preserve">Vopsitorii exterioare cu vopsea lavabila aplicate manual, un strat amorsa (dilutie1:4) si 2 straturi vopsea lavabila de exterior aplicate pe suprafete absorbante la tavane
 - 2601243  Vopsea lavabila de exterior culoare
alba 
 - 2601244 Amorsa pentru zugraveli lavabile
exterioare </t>
        </is>
      </c>
      <c r="D15" s="87">
        <f>"mp"</f>
        <v/>
      </c>
      <c r="E15" s="210" t="inlineStr">
        <is>
          <t>9.44</t>
        </is>
      </c>
      <c r="F15" s="211">
        <f>E15</f>
        <v/>
      </c>
      <c r="G15" s="52">
        <f>G13</f>
        <v/>
      </c>
    </row>
    <row r="16" ht="41.4" customFormat="1" customHeight="1" s="263">
      <c r="A16" s="12">
        <f>"13"</f>
        <v/>
      </c>
      <c r="B16" s="87">
        <f>"RPCXI05A [5]"</f>
        <v/>
      </c>
      <c r="C16" s="13" t="inlineStr">
        <is>
          <t>Demontare...jghiaburi burlane glafuri sorturi pazii etc. la aticul de la copertina acces casa scarii</t>
        </is>
      </c>
      <c r="D16" s="87">
        <f>"m"</f>
        <v/>
      </c>
      <c r="E16" s="210" t="inlineStr">
        <is>
          <t>1.0</t>
        </is>
      </c>
      <c r="F16" s="211">
        <f>E16</f>
        <v/>
      </c>
      <c r="G16" s="55">
        <f>$E$2*0</f>
        <v/>
      </c>
      <c r="H16" s="56" t="n"/>
      <c r="I16" s="56" t="n"/>
      <c r="J16" s="56" t="n"/>
      <c r="K16" s="56" t="n"/>
      <c r="L16" s="56" t="n"/>
      <c r="M16" s="56" t="n"/>
      <c r="N16" s="56" t="n"/>
      <c r="O16" s="172" t="inlineStr">
        <is>
          <t xml:space="preserve">aici e cand invelitoare  la accesul de la casa scarii </t>
        </is>
      </c>
    </row>
    <row r="17" ht="67.5" customFormat="1" customHeight="1" s="263">
      <c r="A17" s="12">
        <f>"14"</f>
        <v/>
      </c>
      <c r="B17" s="87">
        <f>"CE15C1 [1]"</f>
        <v/>
      </c>
      <c r="C17" s="13" t="inlineStr">
        <is>
          <t>Glafuri si copertine din tabla zincata de 0,5 mm grosime cu latimea desfasurata între 15-30 cm, lungimea peste 2 m, pe un strat de carton bitumat la aticul copertinei de la acces casa scarii</t>
        </is>
      </c>
      <c r="D17" s="87">
        <f>"m"</f>
        <v/>
      </c>
      <c r="E17" s="210" t="inlineStr">
        <is>
          <t>1.0</t>
        </is>
      </c>
      <c r="F17" s="211">
        <f>E17</f>
        <v/>
      </c>
      <c r="G17" s="55">
        <f>$E$2*0</f>
        <v/>
      </c>
      <c r="H17" s="56" t="n"/>
      <c r="I17" s="56" t="n"/>
      <c r="J17" s="56" t="n"/>
      <c r="K17" s="56" t="n"/>
      <c r="L17" s="56" t="n"/>
      <c r="M17" s="56" t="n"/>
      <c r="N17" s="56" t="n"/>
      <c r="O17" s="56" t="n"/>
    </row>
    <row r="18" ht="27" customFormat="1" customHeight="1" s="263">
      <c r="A18" s="12">
        <f>"15"</f>
        <v/>
      </c>
      <c r="B18" s="87">
        <f>"RPCE06 [1]"</f>
        <v/>
      </c>
      <c r="C18" s="13" t="inlineStr">
        <is>
          <t>Desfacerea hidroizolatiilor lipite cu bitum la copertina de acces casa scarii</t>
        </is>
      </c>
      <c r="D18" s="87">
        <f>"mp"</f>
        <v/>
      </c>
      <c r="E18" s="210" t="inlineStr">
        <is>
          <t>1.0</t>
        </is>
      </c>
      <c r="F18" s="211">
        <f>E18</f>
        <v/>
      </c>
      <c r="G18" s="52">
        <f>G13</f>
        <v/>
      </c>
    </row>
    <row r="19" ht="109.95" customFormat="1" customHeight="1" s="263">
      <c r="A19" s="12">
        <f>"16"</f>
        <v/>
      </c>
      <c r="B19" s="87">
        <f>"IZF67A+ [14]"</f>
        <v/>
      </c>
      <c r="C19" s="13" t="inlineStr">
        <is>
          <t>Hidroizolatii la acoperis acces in casa scarii, suport planseu de beton, executate pe suprafete mici cu membrane hidroizolante in 2 straturi                                            
-    2500228 -Membrana bituminoasa pentru hidroizolatii termosudabila 
-   2001196 -Membrana bituminoasa termoadeziva protejata cu granule minerale 4,5kg/mp</t>
        </is>
      </c>
      <c r="D19" s="87">
        <f>"mp"</f>
        <v/>
      </c>
      <c r="E19" s="210" t="inlineStr">
        <is>
          <t>1.0</t>
        </is>
      </c>
      <c r="F19" s="211">
        <f>E19</f>
        <v/>
      </c>
      <c r="G19" s="52">
        <f>G18</f>
        <v/>
      </c>
    </row>
    <row r="20" ht="40.5" customFormat="1" customHeight="1" s="263">
      <c r="A20" s="12">
        <f>"17"</f>
        <v/>
      </c>
      <c r="B20" s="87">
        <f>"CL21A1 [5]"</f>
        <v/>
      </c>
      <c r="C20" s="13" t="inlineStr">
        <is>
          <t>Confectie metalica din teava rectangulara 70x50x3mm debitata si vopsita gata de montaj - ptr siguranta in exploatare</t>
        </is>
      </c>
      <c r="D20" s="87">
        <f>"m"</f>
        <v/>
      </c>
      <c r="E20" s="210" t="inlineStr">
        <is>
          <t>1.0</t>
        </is>
      </c>
      <c r="F20" s="211">
        <f>E20</f>
        <v/>
      </c>
      <c r="G20" s="55" t="n">
        <v>0</v>
      </c>
      <c r="H20" s="56" t="n"/>
      <c r="I20" s="56" t="n"/>
      <c r="J20" s="56" t="n"/>
      <c r="K20" s="56" t="n"/>
      <c r="L20" s="56" t="n"/>
      <c r="M20" s="56" t="n"/>
      <c r="N20" s="56" t="n"/>
      <c r="O20" s="56" t="n"/>
    </row>
    <row r="21" ht="40.5" customFormat="1" customHeight="1" s="263">
      <c r="A21" s="12">
        <f>"18"</f>
        <v/>
      </c>
      <c r="B21" s="87">
        <f>"RCSL02B# [7]"</f>
        <v/>
      </c>
      <c r="C21" s="13" t="inlineStr">
        <is>
          <t>Balustrada metalica cu montanti verticali la 10cm , H balustrada 90cm, finisata gata de montaj</t>
        </is>
      </c>
      <c r="D21" s="87">
        <f>"m"</f>
        <v/>
      </c>
      <c r="E21" s="210" t="inlineStr">
        <is>
          <t>1.0</t>
        </is>
      </c>
      <c r="F21" s="211">
        <f>E21</f>
        <v/>
      </c>
      <c r="G21" s="55" t="n">
        <v>0</v>
      </c>
      <c r="H21" s="56" t="n"/>
      <c r="I21" s="56" t="n"/>
      <c r="J21" s="56" t="n"/>
      <c r="K21" s="56" t="n"/>
      <c r="L21" s="56" t="n"/>
      <c r="M21" s="56" t="n"/>
      <c r="N21" s="56" t="n"/>
      <c r="O21" s="56" t="n"/>
    </row>
    <row r="22" ht="40.5" customFormat="1" customHeight="1" s="263">
      <c r="A22" s="12">
        <f>"19"</f>
        <v/>
      </c>
      <c r="B22" s="87">
        <f>"H1B02A3 [1]"</f>
        <v/>
      </c>
      <c r="C22" s="13" t="inlineStr">
        <is>
          <t>Curatarea suprafetelor de beton degradat prin frecare cu peria de sîrma, suflare cu aer comprimat si spalare cu jet de apa sub presiune;</t>
        </is>
      </c>
      <c r="D22" s="87">
        <f>"mp"</f>
        <v/>
      </c>
      <c r="E22" s="210" t="inlineStr">
        <is>
          <t>1.0</t>
        </is>
      </c>
      <c r="F22" s="211">
        <f>E22</f>
        <v/>
      </c>
      <c r="G22" s="52" t="n">
        <v>50</v>
      </c>
    </row>
    <row r="23" ht="27" customFormat="1" customHeight="1" s="263">
      <c r="A23" s="12">
        <f>"20"</f>
        <v/>
      </c>
      <c r="B23" s="87">
        <f>"RPCJ28C1 [6]"</f>
        <v/>
      </c>
      <c r="C23" s="13" t="inlineStr">
        <is>
          <t>Repararea zonelor cu beton degradat executate cu mortar de reprofilare cu contractii reduse</t>
        </is>
      </c>
      <c r="D23" s="87">
        <f>"mp"</f>
        <v/>
      </c>
      <c r="E23" s="210" t="inlineStr">
        <is>
          <t>1.0</t>
        </is>
      </c>
      <c r="F23" s="211">
        <f>E23</f>
        <v/>
      </c>
      <c r="G23" s="52" t="n">
        <v>50</v>
      </c>
    </row>
    <row r="24" ht="27" customFormat="1" customHeight="1" s="263">
      <c r="A24" s="12">
        <f>"21"</f>
        <v/>
      </c>
      <c r="B24" s="87">
        <f>"IZA02XA [1]"</f>
        <v/>
      </c>
      <c r="C24" s="13" t="inlineStr">
        <is>
          <t>Curatarea armaturilor corodate prin frecare cu peria de sirma</t>
        </is>
      </c>
      <c r="D24" s="87">
        <f>"mp"</f>
        <v/>
      </c>
      <c r="E24" s="210" t="inlineStr">
        <is>
          <t>1.0</t>
        </is>
      </c>
      <c r="F24" s="211">
        <f>E24</f>
        <v/>
      </c>
      <c r="G24" s="52" t="n">
        <v>50</v>
      </c>
    </row>
    <row r="25" ht="27" customFormat="1" customHeight="1" s="263">
      <c r="A25" s="12">
        <f>"22"</f>
        <v/>
      </c>
      <c r="B25" s="87">
        <f>"IZA05A+ [1]"</f>
        <v/>
      </c>
      <c r="C25" s="13" t="inlineStr">
        <is>
          <t>Tratatea anticoroziva a armaturilor cu solutii chimice agrementate</t>
        </is>
      </c>
      <c r="D25" s="87">
        <f>"mp"</f>
        <v/>
      </c>
      <c r="E25" s="210" t="inlineStr">
        <is>
          <t>1.0</t>
        </is>
      </c>
      <c r="F25" s="211">
        <f>E25</f>
        <v/>
      </c>
      <c r="G25" s="52" t="n">
        <v>50</v>
      </c>
    </row>
    <row r="26" ht="54" customFormat="1" customHeight="1" s="263">
      <c r="A26" s="12">
        <f>"23"</f>
        <v/>
      </c>
      <c r="B26" s="87">
        <f>"RPCJ46C1 [4]"</f>
        <v/>
      </c>
      <c r="C26" s="13" t="inlineStr">
        <is>
          <t>Tencuieli de protectie in zona armaturilor de otel/ fier beton cu mortar special, în cazul lucrarilor de reparatii ale structurilor degradate de beton armat</t>
        </is>
      </c>
      <c r="D26" s="87">
        <f>"m"</f>
        <v/>
      </c>
      <c r="E26" s="210" t="inlineStr">
        <is>
          <t>1.0</t>
        </is>
      </c>
      <c r="F26" s="211">
        <f>E26</f>
        <v/>
      </c>
      <c r="G26" s="52" t="n">
        <v>100</v>
      </c>
    </row>
    <row r="27" ht="40.5" customFormat="1" customHeight="1" s="263">
      <c r="A27" s="12" t="n">
        <v>24</v>
      </c>
      <c r="B27" s="87">
        <f>"RPCT26XC"</f>
        <v/>
      </c>
      <c r="C27" s="13" t="inlineStr">
        <is>
          <t>Desfacerea invelitorilor din azbociment,eternit,materioal plastic colorat diferit,plane sau ondulate</t>
        </is>
      </c>
      <c r="D27" s="87">
        <f>"mp"</f>
        <v/>
      </c>
      <c r="E27" s="210" t="inlineStr">
        <is>
          <t>1.0</t>
        </is>
      </c>
      <c r="F27" s="211">
        <f>E27</f>
        <v/>
      </c>
      <c r="G27" s="52" t="n"/>
      <c r="O27" s="284" t="inlineStr">
        <is>
          <t>Sarpante false care se pastreaza</t>
        </is>
      </c>
    </row>
    <row r="28" ht="27" customFormat="1" customHeight="1" s="263">
      <c r="A28" s="12" t="n">
        <v>25</v>
      </c>
      <c r="B28" s="87">
        <f>"RPCXH13B"</f>
        <v/>
      </c>
      <c r="C28" s="13" t="inlineStr">
        <is>
          <t xml:space="preserve">Desfacerea ...asterelei invelitorii din scindura sau pfl incl. sortare si stivuire materiale.   </t>
        </is>
      </c>
      <c r="D28" s="87">
        <f>"mp"</f>
        <v/>
      </c>
      <c r="E28" s="210" t="inlineStr">
        <is>
          <t>1.0</t>
        </is>
      </c>
      <c r="F28" s="211">
        <f>E28</f>
        <v/>
      </c>
      <c r="G28" s="52" t="n"/>
    </row>
    <row r="29" ht="27" customFormat="1" customHeight="1" s="263">
      <c r="A29" s="12" t="n">
        <v>26</v>
      </c>
      <c r="B29" s="87">
        <f>"RPCH08B1 [1]"</f>
        <v/>
      </c>
      <c r="C29" s="13" t="inlineStr">
        <is>
          <t>Reparatii elemente de sarpanta deteriorate</t>
        </is>
      </c>
      <c r="D29" s="87">
        <f>"mp"</f>
        <v/>
      </c>
      <c r="E29" s="210" t="inlineStr">
        <is>
          <t>1.0</t>
        </is>
      </c>
      <c r="F29" s="211">
        <f>E29</f>
        <v/>
      </c>
      <c r="G29" s="52" t="n"/>
    </row>
    <row r="30" ht="54" customFormat="1" customHeight="1" s="263">
      <c r="A30" s="12" t="n">
        <v>27</v>
      </c>
      <c r="B30" s="13" t="inlineStr">
        <is>
          <t>IZF35D+ [9]</t>
        </is>
      </c>
      <c r="C30" s="13" t="inlineStr">
        <is>
          <t>Sistem termoizolant realizat cu vata minerala bazaltica de 15 cm grosime (agrementat in Romania, cu o durabilitate garantata de min 10 ani), la acoperis sarpanta, intre capriori</t>
        </is>
      </c>
      <c r="D30" s="13" t="inlineStr">
        <is>
          <t>mp</t>
        </is>
      </c>
      <c r="E30" s="210" t="inlineStr">
        <is>
          <t>1.1</t>
        </is>
      </c>
      <c r="F30" s="211">
        <f>E30</f>
        <v/>
      </c>
      <c r="G30" s="52" t="n"/>
    </row>
    <row r="31" ht="40.5" customFormat="1" customHeight="1" s="263">
      <c r="A31" s="12" t="n">
        <v>28</v>
      </c>
      <c r="B31" s="13" t="inlineStr">
        <is>
          <t>CD20A+ [13]</t>
        </is>
      </c>
      <c r="C31" s="13" t="inlineStr">
        <is>
          <t>Placi presate plate din OSB, grosime 12mm utilizate pentru protectie vata minerala la termoizolarea acoperisului de la mansarda</t>
        </is>
      </c>
      <c r="D31" s="5" t="inlineStr">
        <is>
          <t>mp</t>
        </is>
      </c>
      <c r="E31" s="210" t="n"/>
      <c r="F31" s="211" t="n"/>
      <c r="G31" s="52" t="n"/>
    </row>
    <row r="32" ht="27" customFormat="1" customHeight="1" s="263">
      <c r="A32" s="12" t="n">
        <v>29</v>
      </c>
      <c r="B32" s="76" t="inlineStr">
        <is>
          <t>CN54A+ [1]</t>
        </is>
      </c>
      <c r="C32" s="76" t="inlineStr">
        <is>
          <t xml:space="preserve">Ignifugare si protectie insecto-fungicida elementelor de constructii din lemn </t>
        </is>
      </c>
      <c r="D32" s="13" t="inlineStr">
        <is>
          <t>mp</t>
        </is>
      </c>
      <c r="E32" s="210" t="n"/>
      <c r="F32" s="211" t="n"/>
      <c r="G32" s="52" t="n"/>
    </row>
    <row r="33" ht="27" customFormat="1" customHeight="1" s="263">
      <c r="A33" s="12" t="n">
        <v>30</v>
      </c>
      <c r="B33" s="13" t="inlineStr">
        <is>
          <t>RPCE07B+ [2]</t>
        </is>
      </c>
      <c r="C33" s="13" t="inlineStr">
        <is>
          <t>Strat de bariera contra vaporilor la plansee termoizolate cu vata minerala</t>
        </is>
      </c>
      <c r="D33" s="13" t="inlineStr">
        <is>
          <t>mp</t>
        </is>
      </c>
      <c r="E33" s="210" t="n"/>
      <c r="F33" s="211" t="n"/>
      <c r="G33" s="52" t="n"/>
    </row>
    <row r="34" ht="40.5" customFormat="1" customHeight="1" s="263">
      <c r="A34" s="12" t="n">
        <v>31</v>
      </c>
      <c r="B34" s="87">
        <f>"CE18A1"</f>
        <v/>
      </c>
      <c r="C34" s="13" t="inlineStr">
        <is>
          <t xml:space="preserve">Astereala la învelitori sau la doliile invelitorilor din tigla si azbociment scinduri din rasinoase  </t>
        </is>
      </c>
      <c r="D34" s="87">
        <f>"mp"</f>
        <v/>
      </c>
      <c r="E34" s="210" t="inlineStr">
        <is>
          <t>1.0</t>
        </is>
      </c>
      <c r="F34" s="211">
        <f>E34</f>
        <v/>
      </c>
      <c r="G34" s="52" t="n"/>
    </row>
    <row r="35" ht="40.5" customFormat="1" customHeight="1" s="263">
      <c r="A35" s="12" t="n">
        <v>32</v>
      </c>
      <c r="B35" s="87">
        <f>"CE20A1 [4]"</f>
        <v/>
      </c>
      <c r="C35" s="13" t="inlineStr">
        <is>
          <t>Sipci din lemn montate la acoperisuri pentru sustinerea si fixarea invelitorilor din tigla metalica</t>
        </is>
      </c>
      <c r="D35" s="87">
        <f>"mp"</f>
        <v/>
      </c>
      <c r="E35" s="210" t="inlineStr">
        <is>
          <t>1.0</t>
        </is>
      </c>
      <c r="F35" s="211">
        <f>E35</f>
        <v/>
      </c>
      <c r="G35" s="52" t="n"/>
    </row>
    <row r="36" ht="135" customFormat="1" customHeight="1" s="263">
      <c r="A36" s="12" t="n">
        <v>33</v>
      </c>
      <c r="B36" s="87">
        <f>"CE05A1 [1]"</f>
        <v/>
      </c>
      <c r="C36" s="13" t="inlineStr">
        <is>
          <t>Invelitoare din tabla zincata profilata ondulata, fixata si tesute cu suruburi autofiletante - montare invelitoare din tigla metalica (tip lindab sau similar) - asim     
   2300106 - Tigla metalica 0,5 PE din otel galvanizat protejata in sistem multistrat pe ambele fete cu acoperire finala vopsea poliesterica (tip lindab sau similar) sistem complet inclusiv coame,dolii, opritori zapada etc</t>
        </is>
      </c>
      <c r="D36" s="87">
        <f>"mp"</f>
        <v/>
      </c>
      <c r="E36" s="210" t="inlineStr">
        <is>
          <t>1.0</t>
        </is>
      </c>
      <c r="F36" s="211">
        <f>E36</f>
        <v/>
      </c>
      <c r="G36" s="52" t="n"/>
    </row>
    <row r="37" ht="27" customFormat="1" customHeight="1" s="263">
      <c r="A37" s="12" t="n">
        <v>34</v>
      </c>
      <c r="B37" s="87">
        <f>"IZF03A1 [2]"</f>
        <v/>
      </c>
      <c r="C37" s="13" t="inlineStr">
        <is>
          <t>Folie anticondens montata sub invelitori</t>
        </is>
      </c>
      <c r="D37" s="87">
        <f>"mp"</f>
        <v/>
      </c>
      <c r="E37" s="210" t="inlineStr">
        <is>
          <t>1.0</t>
        </is>
      </c>
      <c r="F37" s="211">
        <f>E37</f>
        <v/>
      </c>
      <c r="G37" s="52" t="n"/>
    </row>
    <row r="38" ht="27" customFormat="1" customHeight="1" s="263">
      <c r="A38" s="173" t="n">
        <v>35</v>
      </c>
      <c r="B38" s="13" t="inlineStr">
        <is>
          <t>CD18A% [10]</t>
        </is>
      </c>
      <c r="C38" s="13" t="inlineStr">
        <is>
          <t>Placare cu placi de gipscarton rezistente la foc pe structura metalica la acoperis mansarda</t>
        </is>
      </c>
      <c r="D38" s="103">
        <f>"mp"</f>
        <v/>
      </c>
      <c r="E38" s="210" t="inlineStr">
        <is>
          <t>1.0</t>
        </is>
      </c>
      <c r="F38" s="211">
        <f>E38</f>
        <v/>
      </c>
      <c r="G38" s="52" t="n"/>
    </row>
    <row r="39" ht="60" customFormat="1" customHeight="1" s="285">
      <c r="A39" s="174" t="n">
        <v>36</v>
      </c>
      <c r="B39" s="76" t="inlineStr">
        <is>
          <t>CF10C1 [6]</t>
        </is>
      </c>
      <c r="C39" s="76" t="inlineStr">
        <is>
          <t>Glet de ipsos aditivat, din produse uscate predozate, aplicat manual in 1 strat pe suprafete de gipscarton la tavane</t>
        </is>
      </c>
      <c r="D39" s="175">
        <f>"mp"</f>
        <v/>
      </c>
      <c r="E39" s="230" t="inlineStr">
        <is>
          <t>1.0</t>
        </is>
      </c>
      <c r="F39" s="234">
        <f>E39</f>
        <v/>
      </c>
      <c r="G39" s="176" t="inlineStr">
        <is>
          <t>30% din gips carton</t>
        </is>
      </c>
    </row>
    <row r="40" ht="54" customFormat="1" customHeight="1" s="263">
      <c r="A40" s="173" t="n">
        <v>37</v>
      </c>
      <c r="B40" s="103">
        <f>"CN01B+ [7]"</f>
        <v/>
      </c>
      <c r="C40" s="13" t="inlineStr">
        <is>
          <t>Vopsitorii interioare cu vopsea lavabila aplicate manual Un strat amorsa (dilutie 1:4) si 2 straturi vopsea lavabila de interior, aplicate pe suprafete interioare noi la spaleti</t>
        </is>
      </c>
      <c r="D40" s="103">
        <f>"mp"</f>
        <v/>
      </c>
      <c r="E40" s="210" t="inlineStr">
        <is>
          <t>1.0</t>
        </is>
      </c>
      <c r="F40" s="211">
        <f>E40</f>
        <v/>
      </c>
      <c r="G40" s="52" t="n"/>
    </row>
    <row r="41" ht="54" customFormat="1" customHeight="1" s="263">
      <c r="A41" s="173" t="n">
        <v>38</v>
      </c>
      <c r="B41" s="13" t="inlineStr">
        <is>
          <t>CF06D1</t>
        </is>
      </c>
      <c r="C41" s="13" t="inlineStr">
        <is>
          <t>Tencuieli exterioare obisnuite executate manual, driscuite, de pe platforma de lucru a cofrajelor glisante, cu mortar de var-ciment marca M25-T, în grosime medie de 1 cm ;</t>
        </is>
      </c>
      <c r="D41" s="177" t="inlineStr">
        <is>
          <t>mp</t>
        </is>
      </c>
      <c r="E41" s="178" t="n"/>
      <c r="F41" s="178" t="n"/>
      <c r="G41" s="70" t="n"/>
      <c r="H41" s="71" t="n"/>
      <c r="I41" s="71" t="n"/>
      <c r="J41" s="71" t="n"/>
      <c r="K41" s="71" t="n"/>
      <c r="L41" s="71" t="n"/>
      <c r="M41" s="71" t="n"/>
      <c r="N41" s="71" t="n"/>
      <c r="O41" s="71" t="n"/>
      <c r="P41" s="71" t="n"/>
      <c r="Q41" s="71" t="n"/>
      <c r="R41" s="71" t="n"/>
      <c r="S41" s="71" t="n"/>
      <c r="T41" s="71" t="n"/>
    </row>
    <row r="42" ht="15" customFormat="1" customHeight="1" s="263">
      <c r="A42" s="173" t="n">
        <v>39</v>
      </c>
      <c r="B42" s="87" t="n">
        <v>2101198</v>
      </c>
      <c r="C42" s="76" t="inlineStr">
        <is>
          <t>Mortar pentru tencuiala M 25 - T</t>
        </is>
      </c>
      <c r="D42" s="177" t="inlineStr">
        <is>
          <t>mc</t>
        </is>
      </c>
      <c r="E42" s="178" t="n"/>
      <c r="F42" s="178" t="n"/>
      <c r="G42" s="70" t="n"/>
      <c r="H42" s="71" t="n"/>
      <c r="I42" s="71" t="n"/>
      <c r="J42" s="71" t="n"/>
      <c r="K42" s="71" t="n"/>
      <c r="L42" s="71" t="n"/>
      <c r="M42" s="71" t="n"/>
      <c r="N42" s="71" t="n"/>
      <c r="O42" s="71" t="n"/>
      <c r="P42" s="71" t="n"/>
      <c r="Q42" s="71" t="n"/>
      <c r="R42" s="71" t="n"/>
      <c r="S42" s="71" t="n"/>
      <c r="T42" s="71" t="n"/>
    </row>
    <row r="43" ht="40.5" customFormat="1" customHeight="1" s="263">
      <c r="A43" s="173" t="n">
        <v>40</v>
      </c>
      <c r="B43" s="13" t="inlineStr">
        <is>
          <t xml:space="preserve"> +CN02B</t>
        </is>
      </c>
      <c r="C43" s="13" t="inlineStr">
        <is>
          <t xml:space="preserve">Tencuieliexecutate cu tencuieli decorative la pereti exteriori si diverse elemente de constructie exterioare </t>
        </is>
      </c>
      <c r="D43" s="177" t="inlineStr">
        <is>
          <t>mp</t>
        </is>
      </c>
      <c r="E43" s="178" t="n"/>
      <c r="F43" s="178" t="n"/>
      <c r="G43" s="70" t="n"/>
      <c r="H43" s="71" t="n"/>
      <c r="I43" s="71" t="n"/>
      <c r="J43" s="71" t="n"/>
      <c r="K43" s="71" t="n"/>
      <c r="L43" s="71" t="n"/>
      <c r="M43" s="71" t="n"/>
      <c r="N43" s="71" t="n"/>
      <c r="O43" s="71" t="n"/>
      <c r="P43" s="71" t="n"/>
      <c r="Q43" s="71" t="n"/>
      <c r="R43" s="71" t="n"/>
      <c r="S43" s="71" t="n"/>
      <c r="T43" s="71" t="n"/>
    </row>
    <row r="44" ht="27" customFormat="1" customHeight="1" s="263">
      <c r="A44" s="173" t="n">
        <v>41</v>
      </c>
      <c r="B44" s="13" t="inlineStr">
        <is>
          <t>RPCI42A# [10]</t>
        </is>
      </c>
      <c r="C44" s="13" t="inlineStr">
        <is>
          <t xml:space="preserve">Demontare cos de fum din tubulatura tabla diametru de 150-200mm                     is.   </t>
        </is>
      </c>
      <c r="D44" s="177" t="inlineStr">
        <is>
          <t>m</t>
        </is>
      </c>
      <c r="E44" s="49" t="n"/>
      <c r="F44" s="49" t="n"/>
      <c r="G44" s="55" t="n"/>
      <c r="H44" s="56" t="n"/>
      <c r="I44" s="56" t="n"/>
      <c r="J44" s="56" t="n"/>
      <c r="K44" s="56" t="n"/>
      <c r="L44" s="56" t="n"/>
      <c r="M44" s="56" t="n"/>
      <c r="N44" s="56" t="n"/>
    </row>
    <row r="45" ht="27" customFormat="1" customHeight="1" s="263">
      <c r="A45" s="173" t="n">
        <v>42</v>
      </c>
      <c r="B45" s="13" t="inlineStr">
        <is>
          <t>CD11F% [2]</t>
        </is>
      </c>
      <c r="C45" s="13" t="inlineStr">
        <is>
          <t>Sistem de cos de fum din inox izolat d.int=200 mm montare + procurare</t>
        </is>
      </c>
      <c r="D45" s="177" t="inlineStr">
        <is>
          <t>m</t>
        </is>
      </c>
      <c r="E45" s="49" t="n"/>
      <c r="F45" s="49" t="n"/>
      <c r="G45" s="55" t="n"/>
      <c r="H45" s="56" t="n"/>
      <c r="I45" s="56" t="n"/>
      <c r="J45" s="56" t="n"/>
      <c r="K45" s="56" t="n"/>
      <c r="L45" s="56" t="n"/>
      <c r="M45" s="56" t="n"/>
      <c r="N45" s="56" t="n"/>
    </row>
    <row r="46" ht="15" customFormat="1" customHeight="1" s="263">
      <c r="A46" s="173" t="n">
        <v>43</v>
      </c>
      <c r="B46" s="87" t="n">
        <v>1805</v>
      </c>
      <c r="C46" s="76" t="inlineStr">
        <is>
          <t>Racord la cosul de fum d=125mm</t>
        </is>
      </c>
      <c r="D46" s="177" t="inlineStr">
        <is>
          <t>buc</t>
        </is>
      </c>
      <c r="E46" s="49" t="n"/>
      <c r="F46" s="49" t="n"/>
      <c r="G46" s="55" t="n"/>
      <c r="H46" s="56" t="n"/>
      <c r="I46" s="56" t="n"/>
      <c r="J46" s="56" t="n"/>
      <c r="K46" s="56" t="n"/>
      <c r="L46" s="56" t="n"/>
      <c r="M46" s="56" t="n"/>
      <c r="N46" s="56" t="n"/>
    </row>
    <row r="47" ht="40.5" customFormat="1" customHeight="1" s="263">
      <c r="A47" s="173" t="n">
        <v>44</v>
      </c>
      <c r="B47" s="13" t="inlineStr">
        <is>
          <t>IZJ12A1 [1]</t>
        </is>
      </c>
      <c r="C47" s="13" t="inlineStr">
        <is>
          <t>Desfacerea sistemelor termoizolante realizate cu polistiren sau vata minerala de la pereti, spaleti, socluri, intrados balcoane</t>
        </is>
      </c>
      <c r="D47" s="58" t="inlineStr">
        <is>
          <t>mp</t>
        </is>
      </c>
      <c r="E47" s="49" t="n"/>
      <c r="F47" s="49" t="n"/>
      <c r="G47" s="55" t="n"/>
      <c r="H47" s="56" t="n"/>
      <c r="I47" s="56" t="n"/>
      <c r="J47" s="56" t="n"/>
      <c r="K47" s="56" t="n"/>
      <c r="L47" s="56" t="n"/>
      <c r="M47" s="56" t="n"/>
      <c r="N47" s="56" t="n"/>
    </row>
    <row r="48" ht="41.4" customFormat="1" customHeight="1" s="263">
      <c r="A48" s="173" t="n">
        <v>45</v>
      </c>
      <c r="B48" s="13" t="inlineStr">
        <is>
          <t>RPCT39A1 [9]</t>
        </is>
      </c>
      <c r="C48" s="13" t="inlineStr">
        <is>
          <t>Demontarea diverselor elemente din prefabricate de beton - trafoare</t>
        </is>
      </c>
      <c r="D48" s="177" t="inlineStr">
        <is>
          <t>mp</t>
        </is>
      </c>
      <c r="E48" s="49" t="n"/>
      <c r="F48" s="49" t="n"/>
      <c r="G48" s="55" t="n"/>
      <c r="H48" s="56" t="n"/>
      <c r="I48" s="56" t="n"/>
      <c r="J48" s="56" t="n"/>
      <c r="K48" s="56" t="n"/>
      <c r="L48" s="56" t="n"/>
      <c r="M48" s="56" t="n"/>
      <c r="N48" s="56" t="n"/>
    </row>
    <row r="49" ht="55.2" customFormat="1" customHeight="1" s="263">
      <c r="A49" s="173" t="n">
        <v>46</v>
      </c>
      <c r="B49" s="13" t="inlineStr">
        <is>
          <t>RPCT39A1 [5]</t>
        </is>
      </c>
      <c r="C49" s="13" t="inlineStr">
        <is>
          <t>Demontarea jardinierelor prefabricate din beton de la balcoane, logii, ferestre, manipularea acestora pe verticala si depozitare loco santier</t>
        </is>
      </c>
      <c r="D49" s="177" t="inlineStr">
        <is>
          <t>kg</t>
        </is>
      </c>
      <c r="E49" s="49" t="n"/>
      <c r="F49" s="49" t="n"/>
      <c r="G49" s="55" t="n">
        <v>0</v>
      </c>
      <c r="H49" s="56" t="n"/>
      <c r="I49" s="56" t="n"/>
      <c r="J49" s="56" t="n"/>
      <c r="K49" s="56" t="n"/>
      <c r="L49" s="56" t="n"/>
      <c r="M49" s="56" t="n"/>
      <c r="N49" s="56" t="n"/>
      <c r="Q49" s="269" t="inlineStr">
        <is>
          <t>daca se propun a se demonta, se calculeaza cate kg are aproximativ 1 m iar apoi * lungimea necesara a se demonta (100 * Lungimea)</t>
        </is>
      </c>
    </row>
    <row r="50" ht="60.6" customFormat="1" customHeight="1" s="263">
      <c r="A50" s="112" t="n">
        <v>49</v>
      </c>
      <c r="B50" s="179" t="inlineStr">
        <is>
          <t xml:space="preserve">RPCT39A1 [2] </t>
        </is>
      </c>
      <c r="C50" s="179" t="inlineStr">
        <is>
          <t xml:space="preserve">Demontarea parapetilor din prefabricate de beton de la balcoane, logii, manipularea acestora pe verticala si depozitare loco santier
</t>
        </is>
      </c>
      <c r="D50" s="49" t="inlineStr">
        <is>
          <t>kg</t>
        </is>
      </c>
      <c r="E50" s="49" t="n"/>
      <c r="F50" s="49" t="n"/>
      <c r="G50" s="56" t="n"/>
      <c r="H50" s="56" t="n"/>
      <c r="O50" s="104" t="n"/>
      <c r="R50" s="104" t="n"/>
    </row>
    <row r="51" ht="27" customHeight="1" s="23">
      <c r="A51" s="180" t="n">
        <v>50</v>
      </c>
      <c r="B51" s="181" t="inlineStr">
        <is>
          <t xml:space="preserve">  CL20A1 </t>
        </is>
      </c>
      <c r="C51" s="76" t="inlineStr">
        <is>
          <t xml:space="preserve">  CL20A1 [7] - Confectii metalice diverse din profile metalice pentru sustineri si consolidari  </t>
        </is>
      </c>
      <c r="D51" s="26" t="inlineStr">
        <is>
          <t>kg</t>
        </is>
      </c>
      <c r="E51" s="26" t="n"/>
      <c r="F51" s="26" t="n"/>
      <c r="G51" s="57" t="n"/>
      <c r="H51" s="57" t="n"/>
      <c r="O51" s="104" t="n"/>
      <c r="R51" s="104" t="n"/>
    </row>
    <row r="52" ht="40.5" customFormat="1" customHeight="1" s="263">
      <c r="A52" s="123" t="n">
        <v>37</v>
      </c>
      <c r="B52" s="13" t="inlineStr">
        <is>
          <t>TRA02A10</t>
        </is>
      </c>
      <c r="C52" s="13" t="inlineStr">
        <is>
          <t xml:space="preserve">Transportul rutier al materialelor,semifabricatelor cu autocamionul pe dist.= ...10 km.  </t>
        </is>
      </c>
      <c r="D52" s="13" t="inlineStr">
        <is>
          <t>tona</t>
        </is>
      </c>
      <c r="E52" s="210" t="inlineStr">
        <is>
          <t>1.0</t>
        </is>
      </c>
      <c r="F52" s="211">
        <f>E52</f>
        <v/>
      </c>
      <c r="G52" s="52">
        <f>(G5*0.25*15+G6*3+G7*0.5+G13*15+G14*3+G15*0.5+G16*5+G17*5+G19*8+G20*5.2+G21*40+G23*15+G29*30+G30*6+G31*7.68+G34*0.024*800+G35*1+G36*6+G38*10.51+G40*0.5+G41*15+G43*3+G51)/1000</f>
        <v/>
      </c>
      <c r="N52" s="269" t="inlineStr">
        <is>
          <t>atentie la cantitate, o vf de control o cantitate f mare e gresita</t>
        </is>
      </c>
    </row>
    <row r="53" ht="40.5" customFormat="1" customHeight="1" s="263">
      <c r="A53" s="123" t="n">
        <v>38</v>
      </c>
      <c r="B53" s="13" t="inlineStr">
        <is>
          <t>TRI1AC13E1</t>
        </is>
      </c>
      <c r="C53" s="13" t="inlineStr">
        <is>
          <t>Descarcare...materiale gr.c-ambalate,10-50 kg deplas.prin purtare pina la 10m,asez..auto-rampa,teren ctg</t>
        </is>
      </c>
      <c r="D53" s="13" t="inlineStr">
        <is>
          <t>tona</t>
        </is>
      </c>
      <c r="E53" s="210" t="inlineStr">
        <is>
          <t>1.0</t>
        </is>
      </c>
      <c r="F53" s="211">
        <f>E53</f>
        <v/>
      </c>
      <c r="G53" s="52">
        <f>G52</f>
        <v/>
      </c>
    </row>
    <row r="54" ht="40.5" customFormat="1" customHeight="1" s="263">
      <c r="A54" s="123" t="n">
        <v>39</v>
      </c>
      <c r="B54" s="13" t="inlineStr">
        <is>
          <t>TRB05A22</t>
        </is>
      </c>
      <c r="C54" s="13" t="inlineStr">
        <is>
          <t xml:space="preserve">Transportul materialelor prin purtat direct.materiale...incomode sub 25 kg distanta 20m  </t>
        </is>
      </c>
      <c r="D54" s="13" t="inlineStr">
        <is>
          <t>tona</t>
        </is>
      </c>
      <c r="E54" s="210" t="inlineStr">
        <is>
          <t>1.0</t>
        </is>
      </c>
      <c r="F54" s="211">
        <f>E54</f>
        <v/>
      </c>
      <c r="G54" s="52">
        <f>G52</f>
        <v/>
      </c>
    </row>
    <row r="55" ht="40.5" customFormat="1" customHeight="1" s="277">
      <c r="A55" s="182">
        <f>"18"</f>
        <v/>
      </c>
      <c r="B55" s="183">
        <f>"TRB01C12"</f>
        <v/>
      </c>
      <c r="C55" s="183" t="inlineStr">
        <is>
          <t xml:space="preserve">Transportul...materialelor cu roaba pe pneuri inc aruncare desc rasturnare grup1-3 distanta 20m  </t>
        </is>
      </c>
      <c r="D55" s="183">
        <f>"tona"</f>
        <v/>
      </c>
      <c r="E55" s="235" t="inlineStr">
        <is>
          <t>1.0</t>
        </is>
      </c>
      <c r="F55" s="236">
        <f>E55</f>
        <v/>
      </c>
      <c r="G55" s="82">
        <f>(G4*30+G9*0.025*1800+G10*0.025*1800+G18*20+G22*10+G27*16+G28*0.024*800+G47*15+G48*100+G49+G50)/1000</f>
        <v/>
      </c>
      <c r="O55" s="263" t="n"/>
      <c r="R55" s="263" t="n"/>
    </row>
    <row r="56" ht="40.5" customFormat="1" customHeight="1" s="277">
      <c r="A56" s="184" t="n">
        <v>47</v>
      </c>
      <c r="B56" s="76">
        <f>"TRI1AA01C3"</f>
        <v/>
      </c>
      <c r="C56" s="76" t="inlineStr">
        <is>
          <t xml:space="preserve">Incarcarea materialelor, grupa a-grele si...marunte,prin aruncare rampa sau teren-auto categ.3  </t>
        </is>
      </c>
      <c r="D56" s="76">
        <f>"tona"</f>
        <v/>
      </c>
      <c r="E56" s="230" t="inlineStr">
        <is>
          <t>1.0</t>
        </is>
      </c>
      <c r="F56" s="234">
        <f>E56</f>
        <v/>
      </c>
      <c r="G56" s="82">
        <f>G55</f>
        <v/>
      </c>
      <c r="Q56" s="283" t="inlineStr">
        <is>
          <t xml:space="preserve">calcul pt jardinere </t>
        </is>
      </c>
    </row>
    <row r="57" ht="27" customFormat="1" customHeight="1" s="277">
      <c r="A57" s="184" t="n">
        <v>48</v>
      </c>
      <c r="B57" s="76">
        <f>"TRA01A10P"</f>
        <v/>
      </c>
      <c r="C57" s="76" t="inlineStr">
        <is>
          <t>Transportul rutier al...pamantului sau molozului cu autobasculanta dist.=10 km</t>
        </is>
      </c>
      <c r="D57" s="76">
        <f>"tona"</f>
        <v/>
      </c>
      <c r="E57" s="230" t="inlineStr">
        <is>
          <t>1.0</t>
        </is>
      </c>
      <c r="F57" s="234">
        <f>E57</f>
        <v/>
      </c>
      <c r="G57" s="82">
        <f>G55</f>
        <v/>
      </c>
      <c r="O57" s="104" t="n"/>
      <c r="Q57" s="277" t="n">
        <v>0.2</v>
      </c>
      <c r="R57" s="104" t="inlineStr">
        <is>
          <t xml:space="preserve">aprox 100 kg </t>
        </is>
      </c>
    </row>
    <row r="58" ht="15" customHeight="1" s="23">
      <c r="Q58" s="263" t="n">
        <v>0.2</v>
      </c>
    </row>
    <row r="59" ht="15" customHeight="1" s="23">
      <c r="Q59" s="280" t="n">
        <v>0.25</v>
      </c>
    </row>
    <row r="60" ht="15" customHeight="1" s="23">
      <c r="O60" s="104" t="n"/>
      <c r="Q60" s="280" t="n">
        <v>0.08</v>
      </c>
      <c r="R60" s="104" t="n"/>
    </row>
    <row r="61" ht="15" customHeight="1" s="23">
      <c r="O61" s="104" t="n"/>
      <c r="Q61" s="280">
        <f>(Q57+Q58+Q59)*Q60*2000</f>
        <v/>
      </c>
      <c r="R61" s="104" t="n"/>
    </row>
  </sheetData>
  <mergeCells count="4">
    <mergeCell ref="N52:N57"/>
    <mergeCell ref="Q56:R56"/>
    <mergeCell ref="O27:O40"/>
    <mergeCell ref="Q49:R49"/>
  </mergeCells>
  <pageMargins left="0.7" right="0.7" top="0.75" bottom="0.75" header="0.511811023622047" footer="0.511811023622047"/>
  <pageSetup orientation="portrait" paperSize="9" horizontalDpi="300" verticalDpi="300"/>
</worksheet>
</file>

<file path=xl/worksheets/sheet29.xml><?xml version="1.0" encoding="utf-8"?>
<worksheet xmlns="http://schemas.openxmlformats.org/spreadsheetml/2006/main">
  <sheetPr>
    <outlinePr summaryBelow="1" summaryRight="1"/>
    <pageSetUpPr/>
  </sheetPr>
  <dimension ref="A1:V26"/>
  <sheetViews>
    <sheetView zoomScale="70" zoomScaleNormal="70" workbookViewId="0">
      <pane xSplit="1" ySplit="3" topLeftCell="B4" activePane="bottomRight" state="frozen"/>
      <selection pane="topRight" activeCell="B1" sqref="B1"/>
      <selection pane="bottomLeft" activeCell="A4" sqref="A4"/>
      <selection pane="bottomRight" activeCell="C8" sqref="C8"/>
    </sheetView>
  </sheetViews>
  <sheetFormatPr baseColWidth="8" defaultColWidth="9.109375" defaultRowHeight="14.4"/>
  <cols>
    <col width="8.88671875" customWidth="1" style="280" min="1" max="1"/>
    <col width="10.88671875" customWidth="1" style="280" min="2" max="2"/>
    <col width="65.5546875" customWidth="1" style="280" min="3" max="3"/>
    <col width="10.88671875" customWidth="1" style="280" min="4" max="6"/>
    <col width="9.44140625" customWidth="1" style="280" min="7" max="7"/>
    <col width="9.109375" customWidth="1" style="280" min="8" max="10"/>
    <col width="9.5546875" customWidth="1" style="280" min="11" max="11"/>
    <col width="9.109375" customWidth="1" style="280" min="12" max="14"/>
    <col width="13.88671875" customWidth="1" style="280" min="15" max="15"/>
    <col width="9.109375" customWidth="1" style="280" min="16" max="16"/>
    <col width="13" customWidth="1" style="280" min="17" max="17"/>
    <col width="9.109375" customWidth="1" style="280" min="18" max="257"/>
  </cols>
  <sheetData>
    <row r="1" ht="30" customFormat="1" customHeight="1" s="263">
      <c r="B1" s="22">
        <f>'Structura Investitie'!D35</f>
        <v/>
      </c>
      <c r="C1" s="59">
        <f>'Structura Investitie'!C35</f>
        <v/>
      </c>
    </row>
    <row r="2" ht="15" customFormat="1" customHeight="1" s="263">
      <c r="D2" s="22">
        <f>'Date cladire'!A83</f>
        <v/>
      </c>
      <c r="E2" s="22">
        <f>'Date cladire'!B83</f>
        <v/>
      </c>
    </row>
    <row r="3" ht="36" customFormat="1" customHeight="1" s="263">
      <c r="A3" s="116">
        <f>"NrCrt"</f>
        <v/>
      </c>
      <c r="B3" s="116">
        <f>"Simbol"</f>
        <v/>
      </c>
      <c r="C3" s="116" t="inlineStr">
        <is>
          <t>Denumire</t>
        </is>
      </c>
      <c r="D3" s="116">
        <f>"UM"</f>
        <v/>
      </c>
      <c r="E3" s="116">
        <f>"Consum"</f>
        <v/>
      </c>
      <c r="F3" s="116">
        <f>"Cantitate"</f>
        <v/>
      </c>
      <c r="G3" s="49">
        <f>'Date cladire'!B2</f>
        <v/>
      </c>
      <c r="H3">
        <f>'Date cladire'!D2</f>
        <v/>
      </c>
      <c r="N3" s="286" t="inlineStr">
        <is>
          <t>La finisaje interioare integral in casa scarii prindem doar lavabil pe toata suprafata, in rest tencuiala, glet si restul articolelor de reparatii le prindem in procentaj de 10-30% in functie de cat de deteriorat e casa de scara.</t>
        </is>
      </c>
    </row>
    <row r="4" ht="54" customFormat="1" customHeight="1" s="263">
      <c r="A4" s="185">
        <f>"1"</f>
        <v/>
      </c>
      <c r="B4" s="186">
        <f>"RPCJ13B1"</f>
        <v/>
      </c>
      <c r="C4" s="186" t="inlineStr">
        <is>
          <t>Reparatii de tencuieli interioare, în jurul tocurilor si pervazurile la usi si ferestre, de 2 cm grosime, driscuite, executate cu mortar de var-ciment marca 10-T, având spaletii...drepti între 15-25 cm latime</t>
        </is>
      </c>
      <c r="D4" s="186">
        <f>"m"</f>
        <v/>
      </c>
      <c r="E4" s="237" t="inlineStr">
        <is>
          <t>1.0</t>
        </is>
      </c>
      <c r="F4" s="238">
        <f>E4</f>
        <v/>
      </c>
      <c r="G4" s="52">
        <f>$E$2*('Date cladire'!B37+'Date cladire'!B73)</f>
        <v/>
      </c>
      <c r="H4">
        <f>$E$2*('Date cladire'!D37+'Date cladire'!D73)</f>
        <v/>
      </c>
    </row>
    <row r="5" ht="40.5" customFormat="1" customHeight="1" s="263">
      <c r="A5" s="185">
        <f>"2"</f>
        <v/>
      </c>
      <c r="B5" s="186">
        <f>"RPCJ36A1 [5]"</f>
        <v/>
      </c>
      <c r="C5" s="186" t="inlineStr">
        <is>
          <t xml:space="preserve">Glet de ipsos si plasa din fibra de sticla pe tencuieli interioare driscuite de 3 mm grosime executat la spaleti pt zugraveli lavabile </t>
        </is>
      </c>
      <c r="D5" s="186">
        <f>"mp"</f>
        <v/>
      </c>
      <c r="E5" s="237" t="inlineStr">
        <is>
          <t>1.0</t>
        </is>
      </c>
      <c r="F5" s="238">
        <f>E5</f>
        <v/>
      </c>
      <c r="G5" s="52">
        <f>G4*0.25</f>
        <v/>
      </c>
    </row>
    <row r="6" ht="94.5" customFormat="1" customHeight="1" s="263">
      <c r="A6" s="185">
        <f>"3"</f>
        <v/>
      </c>
      <c r="B6" s="186">
        <f>"CN01B+ [7]"</f>
        <v/>
      </c>
      <c r="C6" s="186" t="inlineStr">
        <is>
          <t>Vopsitorii interioare cu vopsea lavabila aplicate manual Un strat amorsa (dilutie 1:4) si 2 straturi vopsea lavabila de interior, aplicate pe suprafete interioare noi la spaleti 
 - 2600055 Vopsea lavabila de interior alba -kg
 - 2101353 Amorsa ptr. zugraveli lavabile interioare -kg</t>
        </is>
      </c>
      <c r="D6" s="186">
        <f>"mp"</f>
        <v/>
      </c>
      <c r="E6" s="237" t="inlineStr">
        <is>
          <t>1.0</t>
        </is>
      </c>
      <c r="F6" s="238">
        <f>E6</f>
        <v/>
      </c>
      <c r="G6" s="82">
        <f>G5</f>
        <v/>
      </c>
    </row>
    <row r="7" ht="27" customFormat="1" customHeight="1" s="263">
      <c r="A7" s="185">
        <f>"4"</f>
        <v/>
      </c>
      <c r="B7" s="186">
        <f>"IZF33B+ [1]"</f>
        <v/>
      </c>
      <c r="C7" s="186" t="inlineStr">
        <is>
          <t>Montare profil metalic pentru protectia muchiilor interioare la spaleti</t>
        </is>
      </c>
      <c r="D7" s="186">
        <f>"m"</f>
        <v/>
      </c>
      <c r="E7" s="237" t="inlineStr">
        <is>
          <t>1.0</t>
        </is>
      </c>
      <c r="F7" s="238">
        <f>E7</f>
        <v/>
      </c>
      <c r="G7" s="52">
        <f>G4</f>
        <v/>
      </c>
    </row>
    <row r="8" ht="28.95" customFormat="1" customHeight="1" s="263">
      <c r="A8" s="185">
        <f>"5"</f>
        <v/>
      </c>
      <c r="B8" s="186">
        <f>"RPCT10A1 [1]"</f>
        <v/>
      </c>
      <c r="C8" s="186" t="inlineStr">
        <is>
          <t>Desfacerea, razuirea stratului de glet la pereti, pe suprafete care urmeaza a se gletui</t>
        </is>
      </c>
      <c r="D8" s="186">
        <f>"mp"</f>
        <v/>
      </c>
      <c r="E8" s="237" t="inlineStr">
        <is>
          <t>1.0</t>
        </is>
      </c>
      <c r="F8" s="238">
        <f>E8</f>
        <v/>
      </c>
      <c r="G8" s="55">
        <f>$E$2*0.3*((75.34+5*29.93))</f>
        <v/>
      </c>
      <c r="H8" s="56" t="n"/>
      <c r="I8" s="56" t="n"/>
      <c r="J8" s="56" t="n"/>
      <c r="K8" s="56" t="n"/>
      <c r="L8" s="56" t="n"/>
      <c r="M8" s="56" t="n"/>
      <c r="N8" s="264" t="inlineStr">
        <is>
          <t>seprind cantitati doar daca se finiseaza integral casa scarii</t>
        </is>
      </c>
      <c r="O8" s="57" t="inlineStr">
        <is>
          <t>peretii e pe casa scarii</t>
        </is>
      </c>
      <c r="P8" s="56" t="n"/>
    </row>
    <row r="9" ht="30" customFormat="1" customHeight="1" s="263">
      <c r="A9" s="185">
        <f>"6"</f>
        <v/>
      </c>
      <c r="B9" s="186">
        <f>"RPCT11A1 [2]"</f>
        <v/>
      </c>
      <c r="C9" s="186" t="inlineStr">
        <is>
          <t>Desfacerea, razuirea stratului de glet la tavane, pe suprafete care urmeaza a se gletui</t>
        </is>
      </c>
      <c r="D9" s="186">
        <f>"mp"</f>
        <v/>
      </c>
      <c r="E9" s="237" t="inlineStr">
        <is>
          <t>1.0</t>
        </is>
      </c>
      <c r="F9" s="238">
        <f>E9</f>
        <v/>
      </c>
      <c r="G9" s="55">
        <f>$E$2*0.3*((27.52+5*14.56))</f>
        <v/>
      </c>
      <c r="H9" s="56" t="n"/>
      <c r="I9" s="56" t="n"/>
      <c r="J9" s="56" t="n"/>
      <c r="K9" s="56" t="n"/>
      <c r="L9" s="56" t="n"/>
      <c r="M9" s="56" t="n"/>
      <c r="O9" s="57" t="inlineStr">
        <is>
          <t>tavanul de pe casa scarii</t>
        </is>
      </c>
      <c r="P9" s="56" t="n"/>
    </row>
    <row r="10" ht="67.5" customFormat="1" customHeight="1" s="263">
      <c r="A10" s="185">
        <f>"7"</f>
        <v/>
      </c>
      <c r="B10" s="186">
        <f>"RPCJ09B1"</f>
        <v/>
      </c>
      <c r="C10" s="186" t="inlineStr">
        <is>
          <t>Reparatii la tencuieli interioare de 2 cm grosime, driscuite, executate la pereti sau stâlpi pe...zidarie de caramida sau blocuri mici de beton, cu mortar de var-ciment marca 100-T, pentru  grund si stratul vizibil,</t>
        </is>
      </c>
      <c r="D10" s="186">
        <f>"mp"</f>
        <v/>
      </c>
      <c r="E10" s="237" t="inlineStr">
        <is>
          <t>1.0</t>
        </is>
      </c>
      <c r="F10" s="238">
        <f>E10</f>
        <v/>
      </c>
      <c r="G10" s="52">
        <f>G8*0.3</f>
        <v/>
      </c>
    </row>
    <row r="11" ht="63.6" customFormat="1" customHeight="1" s="263">
      <c r="A11" s="185">
        <f>"8"</f>
        <v/>
      </c>
      <c r="B11" s="186">
        <f>"RPCJ28A1"</f>
        <v/>
      </c>
      <c r="C11" s="186" t="inlineStr">
        <is>
          <t>Reparatii de tencuieli interioare driscuite, la tavane din beton armat, monolit sau prefabricat, executate cu mortar de ciment-var marca 100-T, pentru sprit si mortar de var-ciment marca 25-T pentru...grund si stratul vizibil</t>
        </is>
      </c>
      <c r="D11" s="186">
        <f>"mp"</f>
        <v/>
      </c>
      <c r="E11" s="237" t="inlineStr">
        <is>
          <t>1.0</t>
        </is>
      </c>
      <c r="F11" s="238">
        <f>E11</f>
        <v/>
      </c>
      <c r="G11" s="52">
        <f>G9*0.3</f>
        <v/>
      </c>
    </row>
    <row r="12" ht="40.5" customFormat="1" customHeight="1" s="263">
      <c r="A12" s="185">
        <f>"9"</f>
        <v/>
      </c>
      <c r="B12" s="186">
        <f>"CF10C1[ 12 ]"</f>
        <v/>
      </c>
      <c r="C12" s="186" t="inlineStr">
        <is>
          <t xml:space="preserve">Glet de ipsos aditivat, din produse uscate predozate, aplicat manual in 2 straturi pe tencuieli interioare driscuite la pereti interiori; </t>
        </is>
      </c>
      <c r="D12" s="186">
        <f>"mp"</f>
        <v/>
      </c>
      <c r="E12" s="237" t="inlineStr">
        <is>
          <t>1.0</t>
        </is>
      </c>
      <c r="F12" s="238">
        <f>E12</f>
        <v/>
      </c>
      <c r="G12" s="52">
        <f>G8</f>
        <v/>
      </c>
    </row>
    <row r="13" ht="40.5" customFormat="1" customHeight="1" s="263">
      <c r="A13" s="185">
        <f>"10"</f>
        <v/>
      </c>
      <c r="B13" s="186">
        <f>"CF10C1 [4]"</f>
        <v/>
      </c>
      <c r="C13" s="186" t="inlineStr">
        <is>
          <t xml:space="preserve">Glet de ipsos aditivat, din produse uscate predozate, aplicat manual in 2 straturi pe tencuieli interioare driscuite la tavane; </t>
        </is>
      </c>
      <c r="D13" s="186">
        <f>"mp"</f>
        <v/>
      </c>
      <c r="E13" s="237" t="inlineStr">
        <is>
          <t>1.0</t>
        </is>
      </c>
      <c r="F13" s="238">
        <f>E13</f>
        <v/>
      </c>
      <c r="G13" s="52">
        <f>G9</f>
        <v/>
      </c>
    </row>
    <row r="14" ht="94.5" customFormat="1" customHeight="1" s="263">
      <c r="A14" s="185">
        <f>"11"</f>
        <v/>
      </c>
      <c r="B14" s="186">
        <f>"CN01B+[ 1 ]"</f>
        <v/>
      </c>
      <c r="C14" s="186" t="inlineStr">
        <is>
          <t>Vopsitorii interioare cu vopsea lavabila aplicate manualUn strat amorsa (dilutie 1:4) si un 2 straturi vopsea lavabila de interior , aplicate pe suprafete interioare noi, foarte absorbante;
 - 2600055 Vopsea lavabila de interior alba -kg
 - 2101353 Amorsa ptr. zugraveli lavabile interioare -kg</t>
        </is>
      </c>
      <c r="D14" s="186">
        <f>"mp"</f>
        <v/>
      </c>
      <c r="E14" s="237" t="inlineStr">
        <is>
          <t>1.0</t>
        </is>
      </c>
      <c r="F14" s="238">
        <f>E14</f>
        <v/>
      </c>
      <c r="G14" s="55">
        <f>SUM(G8:G9)</f>
        <v/>
      </c>
      <c r="H14" s="56" t="n"/>
      <c r="I14" s="56" t="n"/>
      <c r="J14" s="56" t="n"/>
      <c r="K14" s="56" t="n"/>
      <c r="L14" s="56" t="n"/>
      <c r="M14" s="56" t="n"/>
    </row>
    <row r="15" ht="27" customFormat="1" customHeight="1" s="263">
      <c r="A15" s="185">
        <f>"12"</f>
        <v/>
      </c>
      <c r="B15" s="186">
        <f>"CB16XA"</f>
        <v/>
      </c>
      <c r="C15" s="186" t="inlineStr">
        <is>
          <t>Schela pentru lucrari interioare de finisaje in incaperi pina la 5 m inaltime</t>
        </is>
      </c>
      <c r="D15" s="186">
        <f>"mp"</f>
        <v/>
      </c>
      <c r="E15" s="237" t="inlineStr">
        <is>
          <t>1.0</t>
        </is>
      </c>
      <c r="F15" s="238">
        <f>E15</f>
        <v/>
      </c>
      <c r="G15" s="55" t="n">
        <v>0</v>
      </c>
      <c r="H15" s="56" t="n"/>
      <c r="I15" s="56" t="n"/>
      <c r="J15" s="56" t="n"/>
      <c r="K15" s="56" t="n"/>
      <c r="L15" s="56" t="n"/>
      <c r="M15" s="56" t="n"/>
      <c r="O15" s="57" t="inlineStr">
        <is>
          <t>et4</t>
        </is>
      </c>
      <c r="P15" s="56" t="n"/>
    </row>
    <row r="16" ht="27" customFormat="1" customHeight="1" s="263">
      <c r="A16" s="185">
        <f>"13"</f>
        <v/>
      </c>
      <c r="B16" s="186">
        <f>"CN11A1"</f>
        <v/>
      </c>
      <c r="C16" s="186" t="inlineStr">
        <is>
          <t xml:space="preserve">Vopsitorii la balustrade, grile si parapete metalice vopsele de ulei  </t>
        </is>
      </c>
      <c r="D16" s="186">
        <f>"mp"</f>
        <v/>
      </c>
      <c r="E16" s="237" t="inlineStr">
        <is>
          <t>1.0</t>
        </is>
      </c>
      <c r="F16" s="238">
        <f>E16</f>
        <v/>
      </c>
      <c r="G16" s="55">
        <f>$E$2*0.9*6.2*5</f>
        <v/>
      </c>
      <c r="H16" s="56" t="n"/>
      <c r="I16" s="56" t="n"/>
      <c r="J16" s="56" t="n"/>
      <c r="K16" s="56" t="n"/>
      <c r="L16" s="56" t="n"/>
      <c r="M16" s="56" t="n"/>
      <c r="O16" s="56" t="n"/>
      <c r="P16" s="56" t="n"/>
    </row>
    <row r="17" ht="75" customFormat="1" customHeight="1" s="263">
      <c r="A17" s="185">
        <f>"14"</f>
        <v/>
      </c>
      <c r="B17" s="186">
        <f>"CN04D1"</f>
        <v/>
      </c>
      <c r="C17" s="186" t="inlineStr">
        <is>
          <t>Vopsitorii la interior si exterior, la pereti si tavane, executate manual, cu vopsea de ulei 2), pe tencuieli gletuite cu ipsos, aplicate la pereti si tavane, în doua straturi;</t>
        </is>
      </c>
      <c r="D17" s="186">
        <f>"mp"</f>
        <v/>
      </c>
      <c r="E17" s="237" t="inlineStr">
        <is>
          <t>1.0</t>
        </is>
      </c>
      <c r="F17" s="238">
        <f>E17</f>
        <v/>
      </c>
      <c r="G17" s="55">
        <f>$E$2*0.2*2*(4.6+3.2)*5+0.2*2*(8.6+3.2)</f>
        <v/>
      </c>
      <c r="H17" s="56" t="n"/>
      <c r="I17" s="56" t="n"/>
      <c r="J17" s="56" t="n"/>
      <c r="K17" s="56" t="n"/>
      <c r="L17" s="56" t="n"/>
      <c r="M17" s="56" t="n"/>
      <c r="O17" s="57" t="inlineStr">
        <is>
          <t>banda de culoare de la casa scarii scari h apro 0,2</t>
        </is>
      </c>
      <c r="P17" s="56" t="n"/>
    </row>
    <row r="18" ht="27" customFormat="1" customHeight="1" s="263">
      <c r="A18" s="185">
        <f>"15"</f>
        <v/>
      </c>
      <c r="B18" s="186">
        <f>"IZA02XA"</f>
        <v/>
      </c>
      <c r="C18" s="186" t="inlineStr">
        <is>
          <t>Curatarea prin metode manuale a supraf.de beton si metal prin frecare cu peria de sirma</t>
        </is>
      </c>
      <c r="D18" s="186">
        <f>"mp"</f>
        <v/>
      </c>
      <c r="E18" s="237" t="inlineStr">
        <is>
          <t>1.0</t>
        </is>
      </c>
      <c r="F18" s="238">
        <f>E18</f>
        <v/>
      </c>
      <c r="G18" s="52">
        <f>G16</f>
        <v/>
      </c>
    </row>
    <row r="19" ht="40.5" customFormat="1" customHeight="1" s="263">
      <c r="A19" s="185">
        <f>"16"</f>
        <v/>
      </c>
      <c r="B19" s="186">
        <f>"IZD07C [1]"</f>
        <v/>
      </c>
      <c r="C19" s="186" t="inlineStr">
        <is>
          <t xml:space="preserve">Grunduirea si vopsirea manuala a confectiilor metalice cu vopsele gata preparate, în urmatoarele variante un strat de grund si doua straturi de vopsea de ulei </t>
        </is>
      </c>
      <c r="D19" s="186">
        <f>"mp"</f>
        <v/>
      </c>
      <c r="E19" s="237" t="inlineStr">
        <is>
          <t>1.0</t>
        </is>
      </c>
      <c r="F19" s="238">
        <f>E19</f>
        <v/>
      </c>
      <c r="G19" s="52">
        <f>G16</f>
        <v/>
      </c>
    </row>
    <row r="20" ht="27" customFormat="1" customHeight="1" s="263">
      <c r="A20" s="185">
        <f>"17"</f>
        <v/>
      </c>
      <c r="B20" s="186">
        <f>"RPCK64B1 [1]"</f>
        <v/>
      </c>
      <c r="C20" s="186" t="inlineStr">
        <is>
          <t>Curatare pardoselilor si a scarilor interioare in urma lucrarilor de finisare a peretilor si tavanelor</t>
        </is>
      </c>
      <c r="D20" s="186">
        <f>"mp"</f>
        <v/>
      </c>
      <c r="E20" s="237" t="inlineStr">
        <is>
          <t>1.0</t>
        </is>
      </c>
      <c r="F20" s="238">
        <f>E20</f>
        <v/>
      </c>
      <c r="G20" s="52">
        <f>G13/0.3</f>
        <v/>
      </c>
    </row>
    <row r="21" ht="27" customFormat="1" customHeight="1" s="277">
      <c r="A21" s="182">
        <f>"18"</f>
        <v/>
      </c>
      <c r="B21" s="183">
        <f>"TRB01C12"</f>
        <v/>
      </c>
      <c r="C21" s="183" t="inlineStr">
        <is>
          <t xml:space="preserve">Transportul...materialelor cu roaba pe pneuri inc aruncare desc rasturnare grup1-3 distanta 20m  </t>
        </is>
      </c>
      <c r="D21" s="183">
        <f>"tona"</f>
        <v/>
      </c>
      <c r="E21" s="235" t="inlineStr">
        <is>
          <t>1.0</t>
        </is>
      </c>
      <c r="F21" s="236">
        <f>E21</f>
        <v/>
      </c>
      <c r="G21" s="82">
        <f>(G8*3+G9*3)/1000</f>
        <v/>
      </c>
    </row>
    <row r="22" ht="40.5" customFormat="1" customHeight="1" s="277">
      <c r="A22" s="182">
        <f>"19"</f>
        <v/>
      </c>
      <c r="B22" s="183">
        <f>"TRI1AA01C3"</f>
        <v/>
      </c>
      <c r="C22" s="183" t="inlineStr">
        <is>
          <t xml:space="preserve">Incarcarea materialelor, grupa a-grele si...marunte,prin aruncare rampa sau teren-auto categ.3  </t>
        </is>
      </c>
      <c r="D22" s="183">
        <f>"tona"</f>
        <v/>
      </c>
      <c r="E22" s="235" t="inlineStr">
        <is>
          <t>1.0</t>
        </is>
      </c>
      <c r="F22" s="236">
        <f>E22</f>
        <v/>
      </c>
      <c r="G22" s="82">
        <f>G21</f>
        <v/>
      </c>
    </row>
    <row r="23" ht="27" customFormat="1" customHeight="1" s="263">
      <c r="A23" s="185">
        <f>"20"</f>
        <v/>
      </c>
      <c r="B23" s="186">
        <f>"TRA01A10P"</f>
        <v/>
      </c>
      <c r="C23" s="186" t="inlineStr">
        <is>
          <t>Transportul rutier al...pamantului sau molozului cu autobasculanta dist.=10 km</t>
        </is>
      </c>
      <c r="D23" s="186">
        <f>"tona"</f>
        <v/>
      </c>
      <c r="E23" s="237" t="inlineStr">
        <is>
          <t>1.0</t>
        </is>
      </c>
      <c r="F23" s="238">
        <f>E23</f>
        <v/>
      </c>
      <c r="G23" s="82">
        <f>G21</f>
        <v/>
      </c>
    </row>
    <row r="24" ht="27" customFormat="1" customHeight="1" s="263">
      <c r="A24" s="185">
        <f>"21"</f>
        <v/>
      </c>
      <c r="B24" s="186">
        <f>"TRA02A10"</f>
        <v/>
      </c>
      <c r="C24" s="186" t="inlineStr">
        <is>
          <t xml:space="preserve">Transportul rutier al materialelor,semifabricatelor cu autocamionul pe dist.= ...10 km.  </t>
        </is>
      </c>
      <c r="D24" s="186">
        <f>"tona"</f>
        <v/>
      </c>
      <c r="E24" s="237" t="inlineStr">
        <is>
          <t>1.0</t>
        </is>
      </c>
      <c r="F24" s="238">
        <f>E24</f>
        <v/>
      </c>
      <c r="G24" s="63">
        <f>(G4*0.25*15+G5*3+G6*0.5+G7*1+G10*12+G11*12+G12*3+G13*3+G14*0.5+G16*0.12+G17*0.25+G19*0.4)/1000</f>
        <v/>
      </c>
    </row>
    <row r="25" ht="40.5" customFormat="1" customHeight="1" s="263">
      <c r="A25" s="185">
        <f>"22"</f>
        <v/>
      </c>
      <c r="B25" s="186">
        <f>"TRI1AC13E1"</f>
        <v/>
      </c>
      <c r="C25" s="186" t="inlineStr">
        <is>
          <t>Descarcare...materiale gr.c-ambalate,10-50 kg deplas.prin purtare pina la 10m, asez..auto-rampa,teren ctg</t>
        </is>
      </c>
      <c r="D25" s="186">
        <f>"tona"</f>
        <v/>
      </c>
      <c r="E25" s="237" t="inlineStr">
        <is>
          <t>1.0</t>
        </is>
      </c>
      <c r="F25" s="238">
        <f>E25</f>
        <v/>
      </c>
      <c r="G25" s="52">
        <f>G24</f>
        <v/>
      </c>
    </row>
    <row r="26" ht="15" customFormat="1" customHeight="1" s="263">
      <c r="E26" s="280" t="n"/>
      <c r="F26" s="280" t="n"/>
    </row>
  </sheetData>
  <mergeCells count="2">
    <mergeCell ref="N8:N25"/>
    <mergeCell ref="N3:V3"/>
  </mergeCells>
  <pageMargins left="0.7" right="0.7" top="0.75" bottom="0.75" header="0.511811023622047" footer="0.511811023622047"/>
  <pageSetup orientation="portrait" paperSize="9" horizontalDpi="300" verticalDpi="300"/>
</worksheet>
</file>

<file path=xl/worksheets/sheet30.xml><?xml version="1.0" encoding="utf-8"?>
<worksheet xmlns="http://schemas.openxmlformats.org/spreadsheetml/2006/main">
  <sheetPr>
    <outlinePr summaryBelow="1" summaryRight="1"/>
    <pageSetUpPr/>
  </sheetPr>
  <dimension ref="A1:S9"/>
  <sheetViews>
    <sheetView zoomScaleNormal="100" workbookViewId="0">
      <pane xSplit="1" ySplit="3" topLeftCell="B4" activePane="bottomRight" state="frozen"/>
      <selection pane="topRight" activeCell="B1" sqref="B1"/>
      <selection pane="bottomLeft" activeCell="A4" sqref="A4"/>
      <selection pane="bottomRight" activeCell="H4" sqref="H4"/>
    </sheetView>
  </sheetViews>
  <sheetFormatPr baseColWidth="8" defaultColWidth="9.109375" defaultRowHeight="14.4"/>
  <cols>
    <col width="8.88671875" customWidth="1" style="280" min="1" max="1"/>
    <col width="10.88671875" customWidth="1" style="280" min="2" max="2"/>
    <col width="58.6640625" customWidth="1" style="280" min="3" max="3"/>
    <col width="10.88671875" customWidth="1" style="126" min="4" max="6"/>
    <col width="9.109375" customWidth="1" style="126" min="7" max="7"/>
    <col width="9.109375" customWidth="1" style="280" min="8" max="257"/>
  </cols>
  <sheetData>
    <row r="1" ht="37.2" customFormat="1" customHeight="1" s="263">
      <c r="B1" s="22">
        <f>'Structura Investitie'!D36</f>
        <v/>
      </c>
      <c r="C1" s="59">
        <f>'Structura Investitie'!C36</f>
        <v/>
      </c>
    </row>
    <row r="2" ht="15" customFormat="1" customHeight="1" s="263">
      <c r="D2" s="22">
        <f>'Date cladire'!A83</f>
        <v/>
      </c>
      <c r="E2" s="22">
        <f>'Date cladire'!B83</f>
        <v/>
      </c>
    </row>
    <row r="3" ht="37.5" customFormat="1" customHeight="1" s="263">
      <c r="A3" s="48">
        <f>"NrCrt"</f>
        <v/>
      </c>
      <c r="B3" s="48">
        <f>"Simbol"</f>
        <v/>
      </c>
      <c r="C3" s="48" t="inlineStr">
        <is>
          <t>Denumire</t>
        </is>
      </c>
      <c r="D3" s="48">
        <f>"UM"</f>
        <v/>
      </c>
      <c r="E3" s="48">
        <f>"Consum"</f>
        <v/>
      </c>
      <c r="F3" s="48">
        <f>"Cantitate"</f>
        <v/>
      </c>
      <c r="G3" s="112">
        <f>'Date cladire'!B2</f>
        <v/>
      </c>
      <c r="H3" s="49">
        <f>'Date cladire'!D2</f>
        <v/>
      </c>
      <c r="I3" s="49" t="n"/>
      <c r="J3" s="49" t="n"/>
      <c r="K3" s="49" t="n"/>
      <c r="L3" s="49" t="n"/>
      <c r="M3" s="49" t="n"/>
      <c r="N3" s="49" t="n"/>
      <c r="O3" s="49" t="n"/>
      <c r="P3" s="49" t="n"/>
      <c r="Q3" s="49" t="n"/>
      <c r="R3" s="49" t="n"/>
      <c r="S3" s="49" t="n"/>
    </row>
    <row r="4" ht="73.2" customFormat="1" customHeight="1" s="263">
      <c r="A4" s="12">
        <f>"1"</f>
        <v/>
      </c>
      <c r="B4" s="87">
        <f>"RPCJ13B1"</f>
        <v/>
      </c>
      <c r="C4" s="13" t="inlineStr">
        <is>
          <t>Reparatii de tencuieli interioare, în jurul tocurilor si pervazurile la usi si ferestre, de 2 cm grosime, driscuite, executate cu mortar de var-ciment marca 10-T, având spaletii...drepti între 15-25 cm latime</t>
        </is>
      </c>
      <c r="D4" s="87">
        <f>"m"</f>
        <v/>
      </c>
      <c r="E4" s="239" t="inlineStr">
        <is>
          <t>1.0</t>
        </is>
      </c>
      <c r="F4" s="240">
        <f>E4</f>
        <v/>
      </c>
      <c r="G4" s="187">
        <f>$E$2*'Date cladire'!B44</f>
        <v/>
      </c>
      <c r="H4">
        <f>$E$2*'Date cladire'!D44</f>
        <v/>
      </c>
    </row>
    <row r="5" ht="51" customFormat="1" customHeight="1" s="263">
      <c r="A5" s="12">
        <f>"2"</f>
        <v/>
      </c>
      <c r="B5" s="87">
        <f>"RPCJ36A1 [5]"</f>
        <v/>
      </c>
      <c r="C5" s="13" t="inlineStr">
        <is>
          <t xml:space="preserve">Glet de ipsos si plasa din fibra de sticla pe tencuieli interioare driscuite de 3 mm grosime executat la spaleti pt zugraveli lavabile </t>
        </is>
      </c>
      <c r="D5" s="87">
        <f>"mp"</f>
        <v/>
      </c>
      <c r="E5" s="239" t="inlineStr">
        <is>
          <t>1.0</t>
        </is>
      </c>
      <c r="F5" s="240">
        <f>E5</f>
        <v/>
      </c>
      <c r="G5" s="187">
        <f>G4*0.25</f>
        <v/>
      </c>
    </row>
    <row r="6" ht="94.5" customFormat="1" customHeight="1" s="263">
      <c r="A6" s="12">
        <f>"3"</f>
        <v/>
      </c>
      <c r="B6" s="87">
        <f>"CN01B+ [7]"</f>
        <v/>
      </c>
      <c r="C6" s="13" t="inlineStr">
        <is>
          <t>Vopsitorii interioare cu vopsea lavabila aplicate manual Un strat amorsa (dilutie 1:4) si 2 straturi vopsea lavabila de interior, aplicate pe suprafete interioare noi la spaleti
 - 2600055 -Vopsea lavabila de interior alba
 - 2101353 - Amorsa ptr. zugraveli lavabile interioare</t>
        </is>
      </c>
      <c r="D6" s="87">
        <f>"mp"</f>
        <v/>
      </c>
      <c r="E6" s="239" t="inlineStr">
        <is>
          <t>1.0</t>
        </is>
      </c>
      <c r="F6" s="240">
        <f>E6</f>
        <v/>
      </c>
      <c r="G6" s="187">
        <f>G5</f>
        <v/>
      </c>
    </row>
    <row r="7" ht="27" customFormat="1" customHeight="1" s="263">
      <c r="A7" s="12">
        <f>"4"</f>
        <v/>
      </c>
      <c r="B7" s="87">
        <f>"IZF33B+ [1]"</f>
        <v/>
      </c>
      <c r="C7" s="13" t="inlineStr">
        <is>
          <t>Montare profil metalic pentru protectia muchiilor interioare la spaleti</t>
        </is>
      </c>
      <c r="D7" s="87">
        <f>"m"</f>
        <v/>
      </c>
      <c r="E7" s="239" t="inlineStr">
        <is>
          <t>1.0</t>
        </is>
      </c>
      <c r="F7" s="240">
        <f>E7</f>
        <v/>
      </c>
      <c r="G7" s="187">
        <f>G4</f>
        <v/>
      </c>
    </row>
    <row r="8" ht="40.5" customFormat="1" customHeight="1" s="263">
      <c r="A8" s="12" t="n">
        <v>5</v>
      </c>
      <c r="B8" s="186">
        <f>"TRA02A10"</f>
        <v/>
      </c>
      <c r="C8" s="186" t="inlineStr">
        <is>
          <t xml:space="preserve">Transportul rutier al materialelor,semifabricatelor cu autocamionul pe dist.= ...10 km.  </t>
        </is>
      </c>
      <c r="D8" s="186">
        <f>"tona"</f>
        <v/>
      </c>
      <c r="E8" s="237" t="inlineStr">
        <is>
          <t>1.0</t>
        </is>
      </c>
      <c r="F8" s="238">
        <f>E8</f>
        <v/>
      </c>
      <c r="G8" s="63">
        <f>(G4*0.25*15+G5*3+G6*0.5+G7*1)/1000</f>
        <v/>
      </c>
    </row>
    <row r="9" ht="40.5" customFormat="1" customHeight="1" s="263">
      <c r="A9" s="12" t="n">
        <v>6</v>
      </c>
      <c r="B9" s="186">
        <f>"TRI1AC13E1"</f>
        <v/>
      </c>
      <c r="C9" s="186" t="inlineStr">
        <is>
          <t>Descarcare...materiale gr.c-ambalate,10-50 kg deplas.prin purtare pina la 10m, asez..auto-rampa,teren ctg</t>
        </is>
      </c>
      <c r="D9" s="186">
        <f>"tona"</f>
        <v/>
      </c>
      <c r="E9" s="237" t="inlineStr">
        <is>
          <t>1.0</t>
        </is>
      </c>
      <c r="F9" s="238">
        <f>E9</f>
        <v/>
      </c>
      <c r="G9" s="52">
        <f>G8</f>
        <v/>
      </c>
      <c r="N9" s="280" t="n"/>
    </row>
  </sheetData>
  <pageMargins left="0.7" right="0.7" top="0.75" bottom="0.75" header="0.511811023622047" footer="0.511811023622047"/>
  <pageSetup orientation="portrait" paperSize="9" horizontalDpi="300" verticalDpi="300"/>
</worksheet>
</file>

<file path=xl/worksheets/sheet31.xml><?xml version="1.0" encoding="utf-8"?>
<worksheet xmlns="http://schemas.openxmlformats.org/spreadsheetml/2006/main">
  <sheetPr>
    <outlinePr summaryBelow="1" summaryRight="1"/>
    <pageSetUpPr/>
  </sheetPr>
  <dimension ref="A1:S7"/>
  <sheetViews>
    <sheetView zoomScaleNormal="100" workbookViewId="0">
      <pane xSplit="1" ySplit="3" topLeftCell="B4" activePane="bottomRight" state="frozen"/>
      <selection pane="topRight" activeCell="B1" sqref="B1"/>
      <selection pane="bottomLeft" activeCell="A4" sqref="A4"/>
      <selection pane="bottomRight" activeCell="T27" sqref="T27"/>
    </sheetView>
  </sheetViews>
  <sheetFormatPr baseColWidth="8" defaultColWidth="9.109375" defaultRowHeight="14.4"/>
  <cols>
    <col width="8.88671875" customWidth="1" style="280" min="1" max="1"/>
    <col width="10.88671875" customWidth="1" style="280" min="2" max="2"/>
    <col width="54.5546875" customWidth="1" style="280" min="3" max="3"/>
    <col width="10.88671875" customWidth="1" style="280" min="4" max="6"/>
    <col width="9.109375" customWidth="1" style="280" min="7" max="257"/>
  </cols>
  <sheetData>
    <row r="1" ht="30" customFormat="1" customHeight="1" s="263">
      <c r="B1" s="22">
        <f>'Structura Investitie'!D37</f>
        <v/>
      </c>
      <c r="C1" s="59">
        <f>'Structura Investitie'!C37</f>
        <v/>
      </c>
    </row>
    <row r="2" ht="15.75" customFormat="1" customHeight="1" s="263">
      <c r="D2" s="22">
        <f>'Date cladire'!A83</f>
        <v/>
      </c>
      <c r="E2" s="22">
        <f>'Date cladire'!B83</f>
        <v/>
      </c>
    </row>
    <row r="3" ht="39" customFormat="1" customHeight="1" s="263">
      <c r="A3" s="48">
        <f>"NrCrt"</f>
        <v/>
      </c>
      <c r="B3" s="48">
        <f>"Simbol"</f>
        <v/>
      </c>
      <c r="C3" s="48" t="inlineStr">
        <is>
          <t>Denumire</t>
        </is>
      </c>
      <c r="D3" s="48">
        <f>"UM"</f>
        <v/>
      </c>
      <c r="E3" s="48">
        <f>"Consum"</f>
        <v/>
      </c>
      <c r="F3" s="48">
        <f>"Cantitate"</f>
        <v/>
      </c>
      <c r="G3" s="49">
        <f>'Date cladire'!B2</f>
        <v/>
      </c>
      <c r="H3" s="49">
        <f>'Date cladire'!D2</f>
        <v/>
      </c>
      <c r="I3" s="49" t="n"/>
      <c r="J3" s="49" t="n"/>
      <c r="K3" s="49" t="n"/>
      <c r="L3" s="49" t="n"/>
      <c r="M3" s="49" t="n"/>
      <c r="N3" s="49" t="n"/>
      <c r="O3" s="49" t="n"/>
      <c r="P3" s="49" t="n"/>
      <c r="Q3" s="49" t="n"/>
      <c r="R3" s="49" t="n"/>
      <c r="S3" s="49" t="n"/>
    </row>
    <row r="4" ht="70.2" customFormat="1" customHeight="1" s="263">
      <c r="A4" s="12">
        <f>"1"</f>
        <v/>
      </c>
      <c r="B4" s="87">
        <f>"RPCJ13B1"</f>
        <v/>
      </c>
      <c r="C4" s="13" t="inlineStr">
        <is>
          <t>Reparatii de tencuieli interioare, în jurul tocurilor si pervazurile la usi si ferestre, de 2 cm grosime, driscuite, executate cu mortar de var-ciment marca 10-T, având spaletii...drepti între 15-25 cm latime</t>
        </is>
      </c>
      <c r="D4" s="87">
        <f>"m"</f>
        <v/>
      </c>
      <c r="E4" s="210" t="inlineStr">
        <is>
          <t>1.0</t>
        </is>
      </c>
      <c r="F4" s="211">
        <f>E4</f>
        <v/>
      </c>
      <c r="G4" s="52">
        <f>$E$2*'Date cladire'!B47</f>
        <v/>
      </c>
      <c r="H4">
        <f>$E$2*'Date cladire'!D47</f>
        <v/>
      </c>
    </row>
    <row r="5" ht="46.95" customFormat="1" customHeight="1" s="263">
      <c r="A5" s="12">
        <f>"2"</f>
        <v/>
      </c>
      <c r="B5" s="87">
        <f>"RPCJ36A1 [5]"</f>
        <v/>
      </c>
      <c r="C5" s="13" t="inlineStr">
        <is>
          <t xml:space="preserve">Glet de ipsos si plasa din fibra de sticla pe tencuieli interioare driscuite de 3 mm grosime executat la spaleti pt zugraveli lavabile </t>
        </is>
      </c>
      <c r="D5" s="87">
        <f>"mp"</f>
        <v/>
      </c>
      <c r="E5" s="210" t="inlineStr">
        <is>
          <t>1.0</t>
        </is>
      </c>
      <c r="F5" s="211">
        <f>E5</f>
        <v/>
      </c>
      <c r="G5" s="52">
        <f>G4*0.25</f>
        <v/>
      </c>
    </row>
    <row r="6" ht="108" customFormat="1" customHeight="1" s="263">
      <c r="A6" s="12">
        <f>"3"</f>
        <v/>
      </c>
      <c r="B6" s="87">
        <f>"CN01B+ [7]"</f>
        <v/>
      </c>
      <c r="C6" s="13" t="inlineStr">
        <is>
          <t>Vopsitorii interioare cu vopsea lavabila aplicate manual Un strat amorsa (dilutie 1:4) si 2 straturi vopsea lavabila de interior, aplicate pe suprafete interioare noi la spaleti
 - 2600055 -Vopsea lavabila de interior alba
 - 2101353 - Amorsa ptr. zugraveli lavabile interioare</t>
        </is>
      </c>
      <c r="D6" s="87">
        <f>"mp"</f>
        <v/>
      </c>
      <c r="E6" s="210" t="inlineStr">
        <is>
          <t>1.0</t>
        </is>
      </c>
      <c r="F6" s="211">
        <f>E6</f>
        <v/>
      </c>
      <c r="G6" s="52">
        <f>G5</f>
        <v/>
      </c>
    </row>
    <row r="7" ht="27" customFormat="1" customHeight="1" s="263">
      <c r="A7" s="12">
        <f>"4"</f>
        <v/>
      </c>
      <c r="B7" s="87">
        <f>"IZF33B+ [1]"</f>
        <v/>
      </c>
      <c r="C7" s="13" t="inlineStr">
        <is>
          <t>Montare profil metalic pentru protectia muchiilor interioare la spaleti</t>
        </is>
      </c>
      <c r="D7" s="87">
        <f>"m"</f>
        <v/>
      </c>
      <c r="E7" s="210" t="inlineStr">
        <is>
          <t>1.0</t>
        </is>
      </c>
      <c r="F7" s="211">
        <f>E7</f>
        <v/>
      </c>
      <c r="G7" s="52">
        <f>G4</f>
        <v/>
      </c>
    </row>
  </sheetData>
  <pageMargins left="0.7" right="0.7" top="0.75" bottom="0.75" header="0.511811023622047" footer="0.511811023622047"/>
  <pageSetup orientation="portrait" paperSize="9" horizontalDpi="300" verticalDpi="300"/>
</worksheet>
</file>

<file path=xl/worksheets/sheet32.xml><?xml version="1.0" encoding="utf-8"?>
<worksheet xmlns="http://schemas.openxmlformats.org/spreadsheetml/2006/main">
  <sheetPr>
    <outlinePr summaryBelow="1" summaryRight="1"/>
    <pageSetUpPr/>
  </sheetPr>
  <dimension ref="A1:J43"/>
  <sheetViews>
    <sheetView zoomScaleNormal="100" workbookViewId="0">
      <pane xSplit="1" ySplit="3" topLeftCell="B4" activePane="bottomRight" state="frozen"/>
      <selection pane="topRight" activeCell="B1" sqref="B1"/>
      <selection pane="bottomLeft" activeCell="A4" sqref="A4"/>
      <selection pane="bottomRight" activeCell="C20" sqref="C20"/>
    </sheetView>
  </sheetViews>
  <sheetFormatPr baseColWidth="8" defaultColWidth="9" defaultRowHeight="14.4"/>
  <cols>
    <col width="8.88671875" customWidth="1" style="23" min="1" max="1"/>
    <col width="10.88671875" customWidth="1" style="23" min="2" max="2"/>
    <col width="50.88671875" customWidth="1" style="23" min="3" max="3"/>
    <col width="10.88671875" customWidth="1" style="23" min="4" max="5"/>
    <col width="17.88671875" customWidth="1" style="23" min="6" max="6"/>
    <col width="38.6640625" customWidth="1" style="23" min="9" max="9"/>
    <col width="24.33203125" customWidth="1" style="23" min="10" max="10"/>
  </cols>
  <sheetData>
    <row r="1" ht="45" customFormat="1" customHeight="1" s="263">
      <c r="B1" s="22">
        <f>'Structura Investitie'!D38</f>
        <v/>
      </c>
      <c r="C1" s="22">
        <f>'Structura Investitie'!C38</f>
        <v/>
      </c>
      <c r="E1" s="263" t="inlineStr">
        <is>
          <t>paratrasnet(pt 1 buc /bl)</t>
        </is>
      </c>
      <c r="F1" s="81" t="n">
        <v>1</v>
      </c>
      <c r="I1" s="81" t="inlineStr">
        <is>
          <t>1-da</t>
        </is>
      </c>
      <c r="J1" s="287" t="inlineStr">
        <is>
          <t>cu fundal gri trecut materialul - nu completam (se va calcula automat in programul de devize)</t>
        </is>
      </c>
    </row>
    <row r="2" ht="30.75" customFormat="1" customHeight="1" s="263">
      <c r="C2" s="22" t="inlineStr">
        <is>
          <t>se refera la 1 buc de paratrasnet cu raza de acoperire de aprx 60 m</t>
        </is>
      </c>
      <c r="D2" s="22" t="inlineStr">
        <is>
          <t xml:space="preserve">procent: </t>
        </is>
      </c>
      <c r="E2" s="22">
        <f>'Date cladire'!B83</f>
        <v/>
      </c>
      <c r="I2" s="81" t="inlineStr">
        <is>
          <t>0-nu</t>
        </is>
      </c>
    </row>
    <row r="3" ht="17.25" customFormat="1" customHeight="1" s="188">
      <c r="A3" s="189">
        <f>"NrCrt"</f>
        <v/>
      </c>
      <c r="B3" s="189">
        <f>"Simbol"</f>
        <v/>
      </c>
      <c r="C3" s="189" t="inlineStr">
        <is>
          <t>Denumire</t>
        </is>
      </c>
      <c r="D3" s="190">
        <f>"UM"</f>
        <v/>
      </c>
      <c r="E3" s="191">
        <f>"Consum"</f>
        <v/>
      </c>
      <c r="F3" s="192" t="inlineStr">
        <is>
          <t>Exemplu</t>
        </is>
      </c>
      <c r="G3" s="192" t="n"/>
      <c r="H3" s="193" t="n"/>
      <c r="I3" s="194" t="inlineStr">
        <is>
          <t>Observatii</t>
        </is>
      </c>
    </row>
    <row r="4" ht="27.75" customFormat="1" customHeight="1" s="195">
      <c r="A4" s="196">
        <f>"1"</f>
        <v/>
      </c>
      <c r="B4" s="197">
        <f>"RPEH04"</f>
        <v/>
      </c>
      <c r="C4" s="197">
        <f>"Demontarea instalatiei de paratrasnet"</f>
        <v/>
      </c>
      <c r="D4" s="197">
        <f>"m"</f>
        <v/>
      </c>
      <c r="E4" s="241" t="n">
        <v>1</v>
      </c>
      <c r="F4" s="198">
        <f>$E$2*F1*('Date cladire'!B16*2+'Date cladire'!B6)</f>
        <v/>
      </c>
      <c r="G4" s="242" t="n"/>
      <c r="H4" s="243" t="n"/>
      <c r="I4" s="198" t="inlineStr">
        <is>
          <t xml:space="preserve"> = inaltimea blocului x 2+ perimetru bloc</t>
        </is>
      </c>
    </row>
    <row r="5" ht="27" customFormat="1" customHeight="1" s="199">
      <c r="A5" s="200">
        <f>"2"</f>
        <v/>
      </c>
      <c r="B5" s="19">
        <f>"EG14A# [2]"</f>
        <v/>
      </c>
      <c r="C5" s="19">
        <f>"Montare piese si elemente diverse ale instalatiei de paratrasnet"</f>
        <v/>
      </c>
      <c r="D5" s="19">
        <f>"buc"</f>
        <v/>
      </c>
      <c r="E5" s="244" t="n">
        <v>1</v>
      </c>
      <c r="F5" s="245">
        <f>F1</f>
        <v/>
      </c>
      <c r="G5" s="245" t="n"/>
      <c r="H5" s="246" t="n"/>
      <c r="I5" s="20" t="inlineStr">
        <is>
          <t>1 buc / paratrasnet</t>
        </is>
      </c>
    </row>
    <row r="6" ht="27" customFormat="1" customHeight="1" s="199">
      <c r="A6" s="201">
        <f>"3"</f>
        <v/>
      </c>
      <c r="B6" s="202">
        <f>"2308352"</f>
        <v/>
      </c>
      <c r="C6" s="202">
        <f>"Piesa de adaptare paratrasnet PDA la catarg din bronz Fi = 50mm"</f>
        <v/>
      </c>
      <c r="D6" s="202">
        <f>"buc"</f>
        <v/>
      </c>
      <c r="E6" s="247" t="n">
        <v>1</v>
      </c>
      <c r="F6" s="248">
        <f>F1</f>
        <v/>
      </c>
      <c r="G6" s="248" t="n"/>
      <c r="H6" s="249" t="n"/>
      <c r="I6" s="20" t="inlineStr">
        <is>
          <t>1 buc / paratrasnet</t>
        </is>
      </c>
    </row>
    <row r="7" ht="27" customFormat="1" customHeight="1" s="199">
      <c r="A7" s="200">
        <f>"4"</f>
        <v/>
      </c>
      <c r="B7" s="19">
        <f>"EG14A# [2]"</f>
        <v/>
      </c>
      <c r="C7" s="19">
        <f>"Montare piese si elemente diverse ale instalatiei de paratrasnet"</f>
        <v/>
      </c>
      <c r="D7" s="19">
        <f>"buc"</f>
        <v/>
      </c>
      <c r="E7" s="244" t="n">
        <v>1</v>
      </c>
      <c r="F7" s="245">
        <f>F1</f>
        <v/>
      </c>
      <c r="G7" s="245" t="n"/>
      <c r="H7" s="246" t="n"/>
      <c r="I7" s="20" t="inlineStr">
        <is>
          <t>1 buc / paratrasnet</t>
        </is>
      </c>
    </row>
    <row r="8" ht="27" customFormat="1" customHeight="1" s="199">
      <c r="A8" s="201">
        <f>"5"</f>
        <v/>
      </c>
      <c r="B8" s="202">
        <f>"2600805"</f>
        <v/>
      </c>
      <c r="C8" s="202">
        <f>"Adaptor din otel inoxidabil, cu 2 coborari pentru catarg  Ø50"</f>
        <v/>
      </c>
      <c r="D8" s="202">
        <f>"buc"</f>
        <v/>
      </c>
      <c r="E8" s="247" t="n">
        <v>1</v>
      </c>
      <c r="F8" s="248">
        <f>F1</f>
        <v/>
      </c>
      <c r="G8" s="248" t="n"/>
      <c r="H8" s="249" t="n"/>
      <c r="I8" s="20" t="inlineStr">
        <is>
          <t>1 buc / paratrasnet</t>
        </is>
      </c>
    </row>
    <row r="9" ht="27" customFormat="1" customHeight="1" s="199">
      <c r="A9" s="200">
        <f>"6"</f>
        <v/>
      </c>
      <c r="B9" s="19">
        <f>"EG14A# [2]"</f>
        <v/>
      </c>
      <c r="C9" s="19">
        <f>"Montare piese si elemente diverse ale instalatiei de paratrasnet"</f>
        <v/>
      </c>
      <c r="D9" s="19">
        <f>"buc"</f>
        <v/>
      </c>
      <c r="E9" s="244" t="n">
        <v>1</v>
      </c>
      <c r="F9" s="245">
        <f>F1</f>
        <v/>
      </c>
      <c r="G9" s="245" t="n"/>
      <c r="H9" s="246" t="n"/>
      <c r="I9" s="20" t="inlineStr">
        <is>
          <t>1 buc / paratrasnet</t>
        </is>
      </c>
    </row>
    <row r="10" ht="13.5" customFormat="1" customHeight="1" s="199">
      <c r="A10" s="201">
        <f>"7"</f>
        <v/>
      </c>
      <c r="B10" s="202">
        <f>"4113552"</f>
        <v/>
      </c>
      <c r="C10" s="202">
        <f>"Colier de strangere fixare cond. pe catarg "</f>
        <v/>
      </c>
      <c r="D10" s="202">
        <f>"buc"</f>
        <v/>
      </c>
      <c r="E10" s="247" t="n">
        <v>1</v>
      </c>
      <c r="F10" s="248">
        <f>F1</f>
        <v/>
      </c>
      <c r="G10" s="248" t="n"/>
      <c r="H10" s="249" t="n"/>
      <c r="I10" s="20" t="inlineStr">
        <is>
          <t>1 buc / paratrasnet</t>
        </is>
      </c>
    </row>
    <row r="11" ht="27" customFormat="1" customHeight="1" s="199">
      <c r="A11" s="200">
        <f>"8"</f>
        <v/>
      </c>
      <c r="B11" s="19">
        <f>"EG14A% [3]"</f>
        <v/>
      </c>
      <c r="C11" s="19">
        <f>"Con protectie patrundere apa la instalatia de paratrasnet - montare"</f>
        <v/>
      </c>
      <c r="D11" s="19">
        <f>"buc"</f>
        <v/>
      </c>
      <c r="E11" s="244" t="n">
        <v>1</v>
      </c>
      <c r="F11" s="245">
        <f>F1</f>
        <v/>
      </c>
      <c r="G11" s="245" t="n"/>
      <c r="H11" s="246" t="n"/>
      <c r="I11" s="20" t="inlineStr">
        <is>
          <t>1 buc / paratrasnet</t>
        </is>
      </c>
    </row>
    <row r="12" ht="27" customFormat="1" customHeight="1" s="199">
      <c r="A12" s="201">
        <f>"9"</f>
        <v/>
      </c>
      <c r="B12" s="202">
        <f>"2600806"</f>
        <v/>
      </c>
      <c r="C12" s="202">
        <f>"Con protectie patrundere apa la instalatia de paratrasnet"</f>
        <v/>
      </c>
      <c r="D12" s="202">
        <f>"buc"</f>
        <v/>
      </c>
      <c r="E12" s="247" t="n">
        <v>1</v>
      </c>
      <c r="F12" s="248">
        <f>F1</f>
        <v/>
      </c>
      <c r="G12" s="248" t="n"/>
      <c r="H12" s="249" t="n"/>
      <c r="I12" s="20" t="inlineStr">
        <is>
          <t>1 buc / paratrasnet</t>
        </is>
      </c>
    </row>
    <row r="13" ht="54" customFormat="1" customHeight="1" s="195">
      <c r="A13" s="196">
        <f>"10"</f>
        <v/>
      </c>
      <c r="B13" s="197">
        <f>"EG06B# [3]"</f>
        <v/>
      </c>
      <c r="C13" s="197">
        <f>"Conductor de coborare din aluminiu...masiv cu imbinare cu cleme montat pe acoperis sau perete"</f>
        <v/>
      </c>
      <c r="D13" s="197">
        <f>"m"</f>
        <v/>
      </c>
      <c r="E13" s="241" t="n">
        <v>1</v>
      </c>
      <c r="F13" s="250">
        <f>$E$2*F1*(('Date cladire'!B16+'Date cladire'!B14)*2+0+4*2)</f>
        <v/>
      </c>
      <c r="G13" s="242" t="n"/>
      <c r="H13" s="243" t="n"/>
      <c r="I13" s="198" t="inlineStr">
        <is>
          <t>inaltimea cladirii x2+latimea cladiri+4*2 (de modificat latimea cladirii in cazuri atipice)</t>
        </is>
      </c>
    </row>
    <row r="14" ht="27" customFormat="1" customHeight="1" s="203">
      <c r="A14" s="201">
        <f>"10.L"</f>
        <v/>
      </c>
      <c r="B14" s="202">
        <f>"   800016L"</f>
        <v/>
      </c>
      <c r="C14" s="202">
        <f>"Suport conductor coborare"</f>
        <v/>
      </c>
      <c r="D14" s="202">
        <f>"buc"</f>
        <v/>
      </c>
      <c r="E14" s="247" t="n">
        <v>0.8</v>
      </c>
      <c r="F14" s="251" t="n"/>
      <c r="G14" s="251" t="n"/>
      <c r="H14" s="252" t="n"/>
      <c r="I14" s="204" t="n"/>
    </row>
    <row r="15" ht="27" customFormat="1" customHeight="1" s="203">
      <c r="A15" s="201">
        <f>"10.L"</f>
        <v/>
      </c>
      <c r="B15" s="202">
        <f>"   3809739"</f>
        <v/>
      </c>
      <c r="C15" s="202">
        <f>"Conductor coborare din aluminiu diametru 10 mm pentru paratrasnet"</f>
        <v/>
      </c>
      <c r="D15" s="202">
        <f>"m"</f>
        <v/>
      </c>
      <c r="E15" s="247" t="n">
        <v>1.05</v>
      </c>
      <c r="F15" s="251" t="n"/>
      <c r="G15" s="251" t="n"/>
      <c r="H15" s="252" t="n"/>
      <c r="I15" s="204" t="n"/>
    </row>
    <row r="16" ht="27" customFormat="1" customHeight="1" s="199">
      <c r="A16" s="200">
        <f>"11"</f>
        <v/>
      </c>
      <c r="B16" s="19">
        <f>"EG10A1"</f>
        <v/>
      </c>
      <c r="C16" s="19">
        <f>"Cutie cu eclisa de legatura,  pentru centura de împamîntare"</f>
        <v/>
      </c>
      <c r="D16" s="19">
        <f>"buc"</f>
        <v/>
      </c>
      <c r="E16" s="244" t="n">
        <v>1</v>
      </c>
      <c r="F16" s="245">
        <f>2*F1</f>
        <v/>
      </c>
      <c r="G16" s="245" t="n"/>
      <c r="H16" s="246" t="n"/>
      <c r="I16" s="20" t="inlineStr">
        <is>
          <t>2 buc</t>
        </is>
      </c>
    </row>
    <row r="17" ht="24.6" customFormat="1" customHeight="1" s="199">
      <c r="A17" s="200" t="n">
        <v>13</v>
      </c>
      <c r="B17" s="19" t="inlineStr">
        <is>
          <t>EG10A1 [1]</t>
        </is>
      </c>
      <c r="C17" s="19" t="inlineStr">
        <is>
          <t>Bara de egalizare potential</t>
        </is>
      </c>
      <c r="D17" s="19" t="n"/>
      <c r="E17" s="244" t="n"/>
      <c r="F17" s="245">
        <f>2*F1</f>
        <v/>
      </c>
      <c r="G17" s="245" t="n"/>
      <c r="H17" s="246" t="n"/>
      <c r="I17" s="205" t="inlineStr">
        <is>
          <t xml:space="preserve">cate una pe fiecare coborare
</t>
        </is>
      </c>
    </row>
    <row r="18" ht="27" customFormat="1" customHeight="1" s="199">
      <c r="A18" s="200" t="n">
        <v>14</v>
      </c>
      <c r="B18" s="19">
        <f>"W2E07A1 [2]"</f>
        <v/>
      </c>
      <c r="C18" s="19">
        <f>"Montare contor lovituri de trasnet."</f>
        <v/>
      </c>
      <c r="D18" s="19">
        <f>"buc"</f>
        <v/>
      </c>
      <c r="E18" s="244" t="n">
        <v>1</v>
      </c>
      <c r="F18" s="245">
        <f>F1</f>
        <v/>
      </c>
      <c r="G18" s="245" t="n"/>
      <c r="H18" s="246" t="n"/>
      <c r="I18" s="20" t="inlineStr">
        <is>
          <t>1 buc / paratrasnet</t>
        </is>
      </c>
    </row>
    <row r="19" ht="13.5" customFormat="1" customHeight="1" s="199">
      <c r="A19" s="201" t="n">
        <v>15</v>
      </c>
      <c r="B19" s="202">
        <f>"4625570"</f>
        <v/>
      </c>
      <c r="C19" s="202">
        <f>"Contor lovituri de trasnet"</f>
        <v/>
      </c>
      <c r="D19" s="202">
        <f>"buc"</f>
        <v/>
      </c>
      <c r="E19" s="247" t="n">
        <v>1</v>
      </c>
      <c r="F19" s="248">
        <f>F1</f>
        <v/>
      </c>
      <c r="G19" s="248" t="n"/>
      <c r="H19" s="249" t="n"/>
      <c r="I19" s="20" t="inlineStr">
        <is>
          <t>1 buc / paratrasnet</t>
        </is>
      </c>
    </row>
    <row r="20" ht="94.5" customFormat="1" customHeight="1" s="199">
      <c r="A20" s="200" t="n">
        <v>16</v>
      </c>
      <c r="B20" s="19">
        <f>"EG08C1"</f>
        <v/>
      </c>
      <c r="C20" s="19">
        <f>"Conducta de legare la pamînt, a instalatiei de paratrasnet sau a instalatiei de protectie prin legarea la pamânt, montata în pamânt, inclusiv saparea si umplerea santului, conducta fiind din banda de otel zincata, de 40x4 mm, montata în teren foarte"</f>
        <v/>
      </c>
      <c r="D20" s="19">
        <f>"m"</f>
        <v/>
      </c>
      <c r="E20" s="244" t="n">
        <v>1</v>
      </c>
      <c r="F20" s="245">
        <f>5*2*F1</f>
        <v/>
      </c>
      <c r="G20" s="245" t="n"/>
      <c r="H20" s="246" t="n"/>
      <c r="I20" s="20" t="inlineStr">
        <is>
          <t>5 m pe coborare x2 = 10m</t>
        </is>
      </c>
    </row>
    <row r="21" ht="27" customFormat="1" customHeight="1" s="199">
      <c r="A21" s="200" t="n">
        <v>17</v>
      </c>
      <c r="B21" s="19">
        <f>"EG14A# [5]"</f>
        <v/>
      </c>
      <c r="C21" s="19">
        <f>"Montare piese si elemente diverse ale instalatiei de priza de pamant"</f>
        <v/>
      </c>
      <c r="D21" s="19">
        <f>"buc"</f>
        <v/>
      </c>
      <c r="E21" s="244" t="n">
        <v>1</v>
      </c>
      <c r="F21" s="245">
        <f>2*F1</f>
        <v/>
      </c>
      <c r="G21" s="245" t="n"/>
      <c r="H21" s="246" t="n"/>
      <c r="I21" s="20" t="inlineStr">
        <is>
          <t>2 buc</t>
        </is>
      </c>
    </row>
    <row r="22" ht="27" customFormat="1" customHeight="1" s="199">
      <c r="A22" s="201" t="n">
        <v>18</v>
      </c>
      <c r="B22" s="202">
        <f>"2308357"</f>
        <v/>
      </c>
      <c r="C22" s="202">
        <f>"Piesa de legatura platbanda la priza de pamant "</f>
        <v/>
      </c>
      <c r="D22" s="202">
        <f>"buc"</f>
        <v/>
      </c>
      <c r="E22" s="247" t="n">
        <v>1</v>
      </c>
      <c r="F22" s="248">
        <f>2*F1</f>
        <v/>
      </c>
      <c r="G22" s="248" t="n"/>
      <c r="H22" s="249" t="n"/>
      <c r="I22" s="20" t="inlineStr">
        <is>
          <t>2 buc</t>
        </is>
      </c>
    </row>
    <row r="23" ht="27" customFormat="1" customHeight="1" s="199">
      <c r="A23" s="200" t="n">
        <v>19</v>
      </c>
      <c r="B23" s="19">
        <f>"EG11A1 [1]"</f>
        <v/>
      </c>
      <c r="C23" s="19">
        <f>"Montare racord in T rezistent la coroziune in sol la instalatia de paratrasnet"</f>
        <v/>
      </c>
      <c r="D23" s="19">
        <f>"buc"</f>
        <v/>
      </c>
      <c r="E23" s="244" t="n">
        <v>1</v>
      </c>
      <c r="F23" s="245">
        <f>2*F1</f>
        <v/>
      </c>
      <c r="G23" s="245" t="n"/>
      <c r="H23" s="246" t="n"/>
      <c r="I23" s="20" t="inlineStr">
        <is>
          <t>2 buc</t>
        </is>
      </c>
    </row>
    <row r="24" ht="27" customFormat="1" customHeight="1" s="199">
      <c r="A24" s="201" t="n">
        <v>20</v>
      </c>
      <c r="B24" s="202">
        <f>"3330849"</f>
        <v/>
      </c>
      <c r="C24" s="202">
        <f>"Racord in T rezistent la coroziune montat in sol"</f>
        <v/>
      </c>
      <c r="D24" s="202">
        <f>"buc"</f>
        <v/>
      </c>
      <c r="E24" s="247" t="n">
        <v>1</v>
      </c>
      <c r="F24" s="248">
        <f>2*F1</f>
        <v/>
      </c>
      <c r="G24" s="248" t="n"/>
      <c r="H24" s="249" t="n"/>
      <c r="I24" s="20" t="inlineStr">
        <is>
          <t>2 buc</t>
        </is>
      </c>
    </row>
    <row r="25" ht="54" customFormat="1" customHeight="1" s="199">
      <c r="A25" s="200" t="n">
        <v>21</v>
      </c>
      <c r="B25" s="19">
        <f>"CN30A#"</f>
        <v/>
      </c>
      <c r="C25" s="19">
        <f>"Vopsitorii cu vopsea miniu pb pe baza de...ulei,executate manual, la pozitie, 1 strat, pe suprafata tabla, plane / curbe ( cuve, recipiente )"</f>
        <v/>
      </c>
      <c r="D25" s="19">
        <f>"mp"</f>
        <v/>
      </c>
      <c r="E25" s="244" t="n">
        <v>4</v>
      </c>
      <c r="F25" s="245">
        <f>2*2*F1</f>
        <v/>
      </c>
      <c r="G25" s="245" t="n"/>
      <c r="H25" s="246" t="n"/>
      <c r="I25" s="20" t="inlineStr">
        <is>
          <t>2mp pe coborare x2 =4mp</t>
        </is>
      </c>
    </row>
    <row r="26" ht="40.5" customFormat="1" customHeight="1" s="199">
      <c r="A26" s="200" t="n">
        <v>22</v>
      </c>
      <c r="B26" s="19">
        <f>"W1R06A3 [2]"</f>
        <v/>
      </c>
      <c r="C26" s="19">
        <f>"Electrod din teava de otel de doi toli zincata pentru legarea la pamant in teren...foarte tare  "</f>
        <v/>
      </c>
      <c r="D26" s="19">
        <f>"m"</f>
        <v/>
      </c>
      <c r="E26" s="244" t="n">
        <v>4</v>
      </c>
      <c r="F26" s="245">
        <f>2*2*F1</f>
        <v/>
      </c>
      <c r="G26" s="245" t="n"/>
      <c r="H26" s="246" t="n"/>
      <c r="I26" s="20" t="inlineStr">
        <is>
          <t>2m pe coborare x2 =4</t>
        </is>
      </c>
    </row>
    <row r="27" ht="27" customFormat="1" customHeight="1" s="199">
      <c r="A27" s="200" t="n">
        <v>23</v>
      </c>
      <c r="B27" s="19">
        <f>"ACB08XB [5]"</f>
        <v/>
      </c>
      <c r="C27" s="19">
        <f>"Imbinare prin sudura electrica a pieselor din ol la capatul tevilor diam : 2"</f>
        <v/>
      </c>
      <c r="D27" s="19">
        <f>"buc"</f>
        <v/>
      </c>
      <c r="E27" s="244" t="n">
        <v>2</v>
      </c>
      <c r="F27" s="245">
        <f>1*2*F1</f>
        <v/>
      </c>
      <c r="G27" s="245" t="n"/>
      <c r="H27" s="246" t="n"/>
      <c r="I27" s="20" t="inlineStr">
        <is>
          <t>1buc pe coborare x 2 =2 buc</t>
        </is>
      </c>
    </row>
    <row r="28" ht="27" customFormat="1" customHeight="1" s="203">
      <c r="A28" s="201">
        <f>"23.L"</f>
        <v/>
      </c>
      <c r="B28" s="202">
        <f>"   7358158"</f>
        <v/>
      </c>
      <c r="C28" s="202">
        <f>"Virf pentru batut electrod de impamantare de adancime"</f>
        <v/>
      </c>
      <c r="D28" s="202">
        <f>"buc"</f>
        <v/>
      </c>
      <c r="E28" s="247" t="n">
        <v>1</v>
      </c>
      <c r="F28" s="251" t="n"/>
      <c r="G28" s="251" t="n"/>
      <c r="H28" s="252" t="n"/>
      <c r="I28" s="204" t="n"/>
    </row>
    <row r="29" ht="54" customFormat="1" customHeight="1" s="199">
      <c r="A29" s="200" t="n">
        <v>24</v>
      </c>
      <c r="B29" s="19">
        <f>"CL21A1"</f>
        <v/>
      </c>
      <c r="C29" s="19">
        <f>"Confectii metalice diverse înglobate total sau partial in beton din profile laminate, tabla, tabla striata, otel beton, tevi pentru sustineri sau acoperiri"</f>
        <v/>
      </c>
      <c r="D29" s="19">
        <f>"kg"</f>
        <v/>
      </c>
      <c r="E29" s="244" t="n">
        <v>20</v>
      </c>
      <c r="F29" s="245">
        <f>20*F1</f>
        <v/>
      </c>
      <c r="G29" s="245" t="n"/>
      <c r="H29" s="246" t="n"/>
      <c r="I29" s="20" t="inlineStr">
        <is>
          <t>20 kg</t>
        </is>
      </c>
    </row>
    <row r="30" ht="27" customFormat="1" customHeight="1" s="203">
      <c r="A30" s="201">
        <f>"25.L"</f>
        <v/>
      </c>
      <c r="B30" s="202">
        <f>"   2601294"</f>
        <v/>
      </c>
      <c r="C30" s="202">
        <f>"Confectii metalice diverse"</f>
        <v/>
      </c>
      <c r="D30" s="202">
        <f>"kg"</f>
        <v/>
      </c>
      <c r="E30" s="247" t="n">
        <v>1</v>
      </c>
      <c r="F30" s="251" t="n"/>
      <c r="G30" s="251" t="n"/>
      <c r="H30" s="252" t="n"/>
      <c r="I30" s="204" t="n"/>
    </row>
    <row r="31" ht="27" customFormat="1" customHeight="1" s="199">
      <c r="A31" s="200" t="n">
        <v>26</v>
      </c>
      <c r="B31" s="19">
        <f>"W1P07A [1]"</f>
        <v/>
      </c>
      <c r="C31" s="19">
        <f>"Verificarea instalatiei de paratrasnet"</f>
        <v/>
      </c>
      <c r="D31" s="19">
        <f>"buc"</f>
        <v/>
      </c>
      <c r="E31" s="244" t="n">
        <v>2</v>
      </c>
      <c r="F31" s="245">
        <f>1*2*F1</f>
        <v/>
      </c>
      <c r="G31" s="245" t="n"/>
      <c r="H31" s="246" t="n"/>
      <c r="I31" s="20" t="inlineStr">
        <is>
          <t>1buc pe coborare x 2 =2 buc</t>
        </is>
      </c>
    </row>
    <row r="32" ht="40.5" customFormat="1" customHeight="1" s="199">
      <c r="A32" s="200" t="n">
        <v>27</v>
      </c>
      <c r="B32" s="19">
        <f>"W1P08A"</f>
        <v/>
      </c>
      <c r="C32" s="19">
        <f>"Verificarea prizelor de pamant pentru lucrari de instalatii electrice la...constructii"</f>
        <v/>
      </c>
      <c r="D32" s="19">
        <f>"buc"</f>
        <v/>
      </c>
      <c r="E32" s="244" t="n">
        <v>2</v>
      </c>
      <c r="F32" s="245">
        <f>1*2*F1</f>
        <v/>
      </c>
      <c r="G32" s="245" t="n"/>
      <c r="H32" s="246" t="n"/>
      <c r="I32" s="20" t="inlineStr">
        <is>
          <t>1buc pe coborare x 2 =2 buc</t>
        </is>
      </c>
    </row>
    <row r="33" ht="27" customFormat="1" customHeight="1" s="199">
      <c r="A33" s="200" t="n">
        <v>28</v>
      </c>
      <c r="B33" s="19">
        <f>"W1R12A [1]"</f>
        <v/>
      </c>
      <c r="C33" s="19">
        <f>"Bentopriza pentru imbunatatirea instalatiei...de legare la pamant"</f>
        <v/>
      </c>
      <c r="D33" s="19">
        <f>"kg"</f>
        <v/>
      </c>
      <c r="E33" s="244" t="n">
        <v>1</v>
      </c>
      <c r="F33" s="245">
        <f>5*2*F1</f>
        <v/>
      </c>
      <c r="G33" s="245" t="n"/>
      <c r="H33" s="246" t="n"/>
      <c r="I33" s="20" t="inlineStr">
        <is>
          <t>5 kg pe coborare x 2 = 10 kg</t>
        </is>
      </c>
    </row>
    <row r="34" ht="40.5" customFormat="1" customHeight="1" s="199">
      <c r="A34" s="200" t="n">
        <v>29</v>
      </c>
      <c r="B34" s="19">
        <f>"DC04B1 [1]"</f>
        <v/>
      </c>
      <c r="C34" s="19">
        <f>"Taierea cu masina cu discuri diamantate a betonului sau asfaltului ptr lucrari de instalatii"</f>
        <v/>
      </c>
      <c r="D34" s="19">
        <f>"m"</f>
        <v/>
      </c>
      <c r="E34" s="244" t="n">
        <v>12</v>
      </c>
      <c r="F34" s="245">
        <f>2*3*2*F1</f>
        <v/>
      </c>
      <c r="G34" s="245" t="n"/>
      <c r="H34" s="246" t="n"/>
      <c r="I34" s="20" t="inlineStr">
        <is>
          <t>2x3m pe coborare x 2 = 12 m</t>
        </is>
      </c>
    </row>
    <row r="35" ht="40.5" customFormat="1" customHeight="1" s="199">
      <c r="A35" s="200" t="n">
        <v>30</v>
      </c>
      <c r="B35" s="19">
        <f>"DG05A1"</f>
        <v/>
      </c>
      <c r="C35" s="19">
        <f>"Decaparea de imbracaminti cu stratul pana la 3 cm grosime, formate din : covoare asfaltice permanente,betoane asfaltice  "</f>
        <v/>
      </c>
      <c r="D35" s="19">
        <f>"mp"</f>
        <v/>
      </c>
      <c r="E35" s="244" t="n">
        <v>6</v>
      </c>
      <c r="F35" s="245">
        <f>3*1*2*F1</f>
        <v/>
      </c>
      <c r="G35" s="245" t="n"/>
      <c r="H35" s="246" t="n"/>
      <c r="I35" s="20" t="inlineStr">
        <is>
          <t xml:space="preserve"> 3mx1m*2buc = 6m</t>
        </is>
      </c>
    </row>
    <row r="36" ht="54" customFormat="1" customHeight="1" s="199">
      <c r="A36" s="200" t="n">
        <v>31</v>
      </c>
      <c r="B36" s="19">
        <f>"DA06A1"</f>
        <v/>
      </c>
      <c r="C36" s="19">
        <f>"Strat de agregate naturale cilindrate (balast), avand functia de rezidenta filtranta, izolatoare, antigeliva si anticapilara, cu asternere manuala;"</f>
        <v/>
      </c>
      <c r="D36" s="19">
        <f>"mc"</f>
        <v/>
      </c>
      <c r="E36" s="244">
        <f>E35*0.15</f>
        <v/>
      </c>
      <c r="F36" s="245">
        <f>F35*0.15</f>
        <v/>
      </c>
      <c r="G36" s="245" t="n"/>
      <c r="H36" s="246" t="n"/>
      <c r="I36" s="20" t="inlineStr">
        <is>
          <t>grosime 15cm</t>
        </is>
      </c>
    </row>
    <row r="37" ht="27" customFormat="1" customHeight="1" s="199">
      <c r="A37" s="200" t="n">
        <v>32</v>
      </c>
      <c r="B37" s="19">
        <f>"DB20C1"</f>
        <v/>
      </c>
      <c r="C37" s="19">
        <f>"Asfalt turnat pe partea carosabila, in grosime de : 5 cm cu asternare manuala"</f>
        <v/>
      </c>
      <c r="D37" s="19">
        <f>"mp"</f>
        <v/>
      </c>
      <c r="E37" s="244">
        <f>E35</f>
        <v/>
      </c>
      <c r="F37" s="245">
        <f>3*1*2*F1</f>
        <v/>
      </c>
      <c r="G37" s="245" t="n"/>
      <c r="H37" s="246" t="n"/>
      <c r="I37" s="20">
        <f>I35</f>
        <v/>
      </c>
    </row>
    <row r="38" ht="27" customFormat="1" customHeight="1" s="203">
      <c r="A38" s="201">
        <f>"33.L"</f>
        <v/>
      </c>
      <c r="B38" s="206">
        <f>"   20018326"</f>
        <v/>
      </c>
      <c r="C38" s="202">
        <f>"Mixtura asfaltica BA16"</f>
        <v/>
      </c>
      <c r="D38" s="202">
        <f>"tona"</f>
        <v/>
      </c>
      <c r="E38" s="247" t="n">
        <v>0.12</v>
      </c>
      <c r="F38" s="251" t="n"/>
      <c r="G38" s="251" t="n"/>
      <c r="H38" s="252" t="n"/>
      <c r="I38" s="204" t="n"/>
    </row>
    <row r="39" ht="40.5" customFormat="1" customHeight="1" s="199">
      <c r="A39" s="200" t="n">
        <v>34</v>
      </c>
      <c r="B39" s="19">
        <f>"TRI1AA02C3"</f>
        <v/>
      </c>
      <c r="C39" s="19">
        <f>"Incarcarea materialelor, grupa...a-grele in bulgari,prin aruncare rampa sau teren-auto categ.3  "</f>
        <v/>
      </c>
      <c r="D39" s="19">
        <f>"tona"</f>
        <v/>
      </c>
      <c r="E39" s="244">
        <f>E35*0.25*1.5</f>
        <v/>
      </c>
      <c r="F39" s="245">
        <f>F35*0.25*1.5*F1</f>
        <v/>
      </c>
      <c r="G39" s="245" t="n"/>
      <c r="H39" s="246" t="n"/>
      <c r="I39" s="20" t="n"/>
    </row>
    <row r="40" ht="27" customFormat="1" customHeight="1" s="199">
      <c r="A40" s="200" t="n">
        <v>35</v>
      </c>
      <c r="B40" s="19">
        <f>"TRA01A10P"</f>
        <v/>
      </c>
      <c r="C40" s="19">
        <f>"Transportul rutier al...pamantului sau molozului cu autobasculanta dist.=10 km"</f>
        <v/>
      </c>
      <c r="D40" s="19">
        <f>"tona"</f>
        <v/>
      </c>
      <c r="E40" s="244">
        <f>E39</f>
        <v/>
      </c>
      <c r="F40" s="245">
        <f>F39*F1</f>
        <v/>
      </c>
      <c r="G40" s="245" t="n"/>
      <c r="H40" s="246" t="n"/>
      <c r="I40" s="20" t="n"/>
    </row>
    <row r="41" ht="40.5" customFormat="1" customHeight="1" s="199">
      <c r="A41" s="200" t="n">
        <v>36</v>
      </c>
      <c r="B41" s="19">
        <f>"TRA01A30"</f>
        <v/>
      </c>
      <c r="C41" s="19">
        <f>"Transportul rutier al...materialelor,semifabricatelor cu autobasculanta pe dist.=  30 km.  "</f>
        <v/>
      </c>
      <c r="D41" s="19">
        <f>"tona"</f>
        <v/>
      </c>
      <c r="E41" s="244">
        <f>E36*1.6</f>
        <v/>
      </c>
      <c r="F41" s="245">
        <f>F36*1.6*F1</f>
        <v/>
      </c>
      <c r="G41" s="245" t="n"/>
      <c r="H41" s="246" t="n"/>
      <c r="I41" s="20" t="n"/>
    </row>
    <row r="42" ht="40.5" customFormat="1" customHeight="1" s="199">
      <c r="A42" s="200" t="n">
        <v>37</v>
      </c>
      <c r="B42" s="19">
        <f>"TRA02A10"</f>
        <v/>
      </c>
      <c r="C42" s="19">
        <f>"Transportul rutier al materialelor,semifabricatelor cu autocamionul pe dist.= ...10 km.  "</f>
        <v/>
      </c>
      <c r="D42" s="19">
        <f>"tona"</f>
        <v/>
      </c>
      <c r="E42" s="244" t="n">
        <v>0.5</v>
      </c>
      <c r="F42" s="244">
        <f>0.5*F1</f>
        <v/>
      </c>
      <c r="G42" s="245" t="n"/>
      <c r="H42" s="246" t="n"/>
      <c r="I42" s="20" t="n"/>
    </row>
    <row r="43" ht="40.5" customFormat="1" customHeight="1" s="199">
      <c r="A43" s="200" t="n">
        <v>38</v>
      </c>
      <c r="B43" s="19">
        <f>"TRI1AC13E1"</f>
        <v/>
      </c>
      <c r="C43" s="19">
        <f>"Descarcare...materiale gr.c-ambalate,10-50 kg deplas.prin purtare pina la 10m,asez..auto-rampa,teren ctg"</f>
        <v/>
      </c>
      <c r="D43" s="19">
        <f>"tona"</f>
        <v/>
      </c>
      <c r="E43" s="244" t="n">
        <v>0.5</v>
      </c>
      <c r="F43" s="244">
        <f>F42</f>
        <v/>
      </c>
      <c r="G43" s="245" t="n"/>
      <c r="H43" s="246" t="n"/>
      <c r="I43" s="207" t="n"/>
    </row>
  </sheetData>
  <mergeCells count="1">
    <mergeCell ref="J1:J2"/>
  </mergeCells>
  <pageMargins left="0.7" right="0.7" top="0.75" bottom="0.75" header="0.511811023622047" footer="0.511811023622047"/>
  <pageSetup orientation="portrait" paperSize="9" horizontalDpi="300" verticalDpi="300"/>
</worksheet>
</file>

<file path=xl/worksheets/sheet33.xml><?xml version="1.0" encoding="utf-8"?>
<worksheet xmlns="http://schemas.openxmlformats.org/spreadsheetml/2006/main">
  <sheetPr>
    <outlinePr summaryBelow="1" summaryRight="1"/>
    <pageSetUpPr/>
  </sheetPr>
  <dimension ref="A1:F7"/>
  <sheetViews>
    <sheetView zoomScaleNormal="100" workbookViewId="0">
      <pane xSplit="1" ySplit="3" topLeftCell="B4" activePane="bottomRight" state="frozen"/>
      <selection pane="topRight" activeCell="B1" sqref="B1"/>
      <selection pane="bottomLeft" activeCell="A4" sqref="A4"/>
      <selection pane="bottomRight" activeCell="T39" sqref="T39"/>
    </sheetView>
  </sheetViews>
  <sheetFormatPr baseColWidth="8" defaultColWidth="9" defaultRowHeight="14.4"/>
  <cols>
    <col width="10.33203125" customWidth="1" style="23" min="1" max="1"/>
    <col width="10.6640625" customWidth="1" style="23" min="2" max="2"/>
    <col width="50.88671875" customWidth="1" style="23" min="3" max="3"/>
    <col width="10.88671875" customWidth="1" style="23" min="4" max="5"/>
    <col width="16.44140625" customWidth="1" style="23" min="6" max="6"/>
  </cols>
  <sheetData>
    <row r="1" ht="15" customFormat="1" customHeight="1" s="263">
      <c r="B1" s="22">
        <f>'Structura Investitie'!D39</f>
        <v/>
      </c>
      <c r="C1" s="22">
        <f>'Structura Investitie'!C39</f>
        <v/>
      </c>
    </row>
    <row r="2" ht="15.75" customFormat="1" customHeight="1" s="263"/>
    <row r="3" ht="20.25" customFormat="1" customHeight="1" s="263">
      <c r="A3" s="120">
        <f>"NrCrt"</f>
        <v/>
      </c>
      <c r="B3" s="121">
        <f>"Simbol"</f>
        <v/>
      </c>
      <c r="C3" s="48" t="inlineStr">
        <is>
          <t>Denumire</t>
        </is>
      </c>
      <c r="D3" s="48">
        <f>"UM"</f>
        <v/>
      </c>
      <c r="E3" s="48">
        <f>"Consum"</f>
        <v/>
      </c>
      <c r="F3" s="48">
        <f>"Cantitate"</f>
        <v/>
      </c>
    </row>
    <row r="4" ht="27.75" customFormat="1" customHeight="1" s="263">
      <c r="A4" s="67" t="n">
        <v>1</v>
      </c>
      <c r="B4" s="122">
        <f>"EG11E1 [1]"</f>
        <v/>
      </c>
      <c r="C4" s="13" t="inlineStr">
        <is>
          <t xml:space="preserve">Montare paratrasnet tip PDA </t>
        </is>
      </c>
      <c r="D4" s="87">
        <f>"buc"</f>
        <v/>
      </c>
      <c r="E4" s="210" t="inlineStr">
        <is>
          <t>1.0</t>
        </is>
      </c>
      <c r="F4" s="211">
        <f>E4</f>
        <v/>
      </c>
    </row>
    <row r="5" ht="27" customFormat="1" customHeight="1" s="263">
      <c r="A5" s="67" t="n">
        <v>2</v>
      </c>
      <c r="B5" s="122">
        <f>"EG01C1 [2]"</f>
        <v/>
      </c>
      <c r="C5" s="13" t="inlineStr">
        <is>
          <t>Tija de captare, pentru instalatii de paratrasnete, h= 4m</t>
        </is>
      </c>
      <c r="D5" s="87">
        <f>"buc"</f>
        <v/>
      </c>
      <c r="E5" s="210" t="inlineStr">
        <is>
          <t>1.0</t>
        </is>
      </c>
      <c r="F5" s="211">
        <f>E5</f>
        <v/>
      </c>
    </row>
    <row r="6" ht="27" customFormat="1" customHeight="1" s="280">
      <c r="A6" s="26" t="n">
        <v>3</v>
      </c>
      <c r="B6" s="79" t="inlineStr">
        <is>
          <t>EG14A% [6]</t>
        </is>
      </c>
      <c r="C6" s="79" t="inlineStr">
        <is>
          <t>Sistem de fixare pentru tija de captare paratrasnet - montare</t>
        </is>
      </c>
      <c r="D6" s="26" t="inlineStr">
        <is>
          <t>buc</t>
        </is>
      </c>
    </row>
    <row r="7" ht="27" customHeight="1" s="23">
      <c r="A7" s="41" t="n">
        <v>4</v>
      </c>
      <c r="B7" s="208">
        <f>"0001808"</f>
        <v/>
      </c>
      <c r="C7" s="79" t="inlineStr">
        <is>
          <t xml:space="preserve"> Sistem de fixare pentru tija captare paratrasnet</t>
        </is>
      </c>
      <c r="D7" s="41" t="inlineStr">
        <is>
          <t>buc</t>
        </is>
      </c>
    </row>
  </sheetData>
  <pageMargins left="0.7" right="0.7" top="0.75" bottom="0.75" header="0.511811023622047" footer="0.511811023622047"/>
  <pageSetup orientation="portrait" paperSize="9" horizontalDpi="300" verticalDpi="300"/>
</worksheet>
</file>

<file path=xl/worksheets/sheet34.xml><?xml version="1.0" encoding="utf-8"?>
<worksheet xmlns="http://schemas.openxmlformats.org/spreadsheetml/2006/main">
  <sheetPr>
    <tabColor rgb="FFFFFFCC"/>
    <outlinePr summaryBelow="1" summaryRight="1"/>
    <pageSetUpPr/>
  </sheetPr>
  <dimension ref="A1:F24"/>
  <sheetViews>
    <sheetView zoomScaleNormal="100" workbookViewId="0">
      <pane xSplit="1" ySplit="3" topLeftCell="B4" activePane="bottomRight" state="frozen"/>
      <selection pane="topRight" activeCell="B1" sqref="B1"/>
      <selection pane="bottomLeft" activeCell="A4" sqref="A4"/>
      <selection pane="bottomRight" activeCell="R13" sqref="R13"/>
    </sheetView>
  </sheetViews>
  <sheetFormatPr baseColWidth="8" defaultColWidth="9" defaultRowHeight="14.4"/>
  <cols>
    <col width="7.109375" customWidth="1" style="23" min="1" max="1"/>
    <col width="10.88671875" customWidth="1" style="23" min="2" max="2"/>
    <col width="66" customWidth="1" style="23" min="3" max="3"/>
    <col width="10.88671875" customWidth="1" style="23" min="4" max="6"/>
  </cols>
  <sheetData>
    <row r="1" ht="15" customFormat="1" customHeight="1" s="263">
      <c r="B1" s="22">
        <f>'Structura Investitie'!D41</f>
        <v/>
      </c>
      <c r="C1" s="22">
        <f>'Structura Investitie'!C41</f>
        <v/>
      </c>
    </row>
    <row r="2" ht="15.75" customFormat="1" customHeight="1" s="263"/>
    <row r="3" ht="39" customFormat="1" customHeight="1" s="263">
      <c r="A3" s="47">
        <f>"NrCrt"</f>
        <v/>
      </c>
      <c r="B3" s="48">
        <f>"Simbol"</f>
        <v/>
      </c>
      <c r="C3" s="48" t="inlineStr">
        <is>
          <t>Denumire</t>
        </is>
      </c>
      <c r="D3" s="48">
        <f>"UM"</f>
        <v/>
      </c>
      <c r="E3" s="48">
        <f>"Consum"</f>
        <v/>
      </c>
      <c r="F3" s="48">
        <f>"Cantitate"</f>
        <v/>
      </c>
    </row>
    <row r="4" ht="27.75" customFormat="1" customHeight="1" s="263">
      <c r="A4" s="123" t="n">
        <v>1</v>
      </c>
      <c r="B4" s="87">
        <f>"RPCXS03A"</f>
        <v/>
      </c>
      <c r="C4" s="13" t="inlineStr">
        <is>
          <t>Imprejmuire din...cherestea rasinoase cu bulumaci lemn foioase</t>
        </is>
      </c>
      <c r="D4" s="87">
        <f>"m"</f>
        <v/>
      </c>
      <c r="E4" s="210" t="inlineStr">
        <is>
          <t>40.0</t>
        </is>
      </c>
      <c r="F4" s="211">
        <f>E4</f>
        <v/>
      </c>
    </row>
    <row r="5" ht="15" customFormat="1" customHeight="1" s="263">
      <c r="A5" s="123" t="n">
        <v>2</v>
      </c>
      <c r="B5" s="87">
        <f>"RPCXS05B"</f>
        <v/>
      </c>
      <c r="C5" s="13" t="inlineStr">
        <is>
          <t>Desfaceri ...imprejmuire din lemn plasa sau combinate</t>
        </is>
      </c>
      <c r="D5" s="87">
        <f>"m"</f>
        <v/>
      </c>
      <c r="E5" s="210" t="inlineStr">
        <is>
          <t>40.0</t>
        </is>
      </c>
      <c r="F5" s="211">
        <f>E5</f>
        <v/>
      </c>
    </row>
    <row r="6" ht="27" customFormat="1" customHeight="1" s="263">
      <c r="A6" s="123" t="n">
        <v>3</v>
      </c>
      <c r="B6" s="87">
        <f>"RPCH27A1"</f>
        <v/>
      </c>
      <c r="C6" s="13" t="inlineStr">
        <is>
          <t>Scheletul magaziilor si baracamentelor din lemn executat din lemn...de rasinoase, ecarisat</t>
        </is>
      </c>
      <c r="D6" s="87">
        <f>"mc"</f>
        <v/>
      </c>
      <c r="E6" s="210" t="inlineStr">
        <is>
          <t>2.5</t>
        </is>
      </c>
      <c r="F6" s="211">
        <f>E6</f>
        <v/>
      </c>
    </row>
    <row r="7" ht="27" customFormat="1" customHeight="1" s="263">
      <c r="A7" s="123" t="n">
        <v>4</v>
      </c>
      <c r="B7" s="87">
        <f>"RPCH28A1"</f>
        <v/>
      </c>
      <c r="C7" s="13" t="inlineStr">
        <is>
          <t>Captuseli la pereti din lemn executate cu scânduri de rasinoase de 24 mm grosime...brute, batute caplama</t>
        </is>
      </c>
      <c r="D7" s="87">
        <f>"mp"</f>
        <v/>
      </c>
      <c r="E7" s="210" t="inlineStr">
        <is>
          <t>48.0</t>
        </is>
      </c>
      <c r="F7" s="211">
        <f>E7</f>
        <v/>
      </c>
    </row>
    <row r="8" ht="54" customFormat="1" customHeight="1" s="263">
      <c r="A8" s="123" t="n">
        <v>5</v>
      </c>
      <c r="B8" s="87">
        <f>"RPCH01C1"</f>
        <v/>
      </c>
      <c r="C8" s="13" t="inlineStr">
        <is>
          <t>Sarpanta din lemn de ratinoase, rezemate direct pe ziduri, compusa din capriori si pane pentru învelitori de carton sau de tabla, cu una sau doua pante, din lemn...rotund la constructii provizorii</t>
        </is>
      </c>
      <c r="D8" s="87">
        <f>"mp"</f>
        <v/>
      </c>
      <c r="E8" s="210" t="inlineStr">
        <is>
          <t>20.0</t>
        </is>
      </c>
      <c r="F8" s="211">
        <f>E8</f>
        <v/>
      </c>
    </row>
    <row r="9" ht="27" customFormat="1" customHeight="1" s="263">
      <c r="A9" s="123" t="n">
        <v>6</v>
      </c>
      <c r="B9" s="87">
        <f>"RPCXI02B[ 1 ]"</f>
        <v/>
      </c>
      <c r="C9" s="13" t="inlineStr">
        <is>
          <t>Invelitoare din placi ondoline pe ferme din lemn incl. dolii pazii sort racord cos</t>
        </is>
      </c>
      <c r="D9" s="87">
        <f>"mp"</f>
        <v/>
      </c>
      <c r="E9" s="210" t="inlineStr">
        <is>
          <t>23.0</t>
        </is>
      </c>
      <c r="F9" s="211">
        <f>E9</f>
        <v/>
      </c>
    </row>
    <row r="10" ht="81" customFormat="1" customHeight="1" s="263">
      <c r="A10" s="123" t="n">
        <v>7</v>
      </c>
      <c r="B10" s="87">
        <f>"RPCH31A1"</f>
        <v/>
      </c>
      <c r="C10" s="13" t="inlineStr">
        <is>
          <t>Usi dulgheresti din lemn de rasinoase pentru completari în subsolurile cladirilor existente, inclusiv fieraria pentru fixare si închidere, din scânduri brute de 24 mm grosime, batute alaturat pe cadru de rigle de 38x58 mm, inclusiv tocul...din dulapi de 38 mm grosime si circa 12 cm latime</t>
        </is>
      </c>
      <c r="D10" s="87">
        <f>"mp"</f>
        <v/>
      </c>
      <c r="E10" s="210" t="inlineStr">
        <is>
          <t>3.0</t>
        </is>
      </c>
      <c r="F10" s="211">
        <f>E10</f>
        <v/>
      </c>
    </row>
    <row r="11" ht="27" customFormat="1" customHeight="1" s="263">
      <c r="A11" s="123" t="n">
        <v>8</v>
      </c>
      <c r="B11" s="87">
        <f>"+RPCA03A"</f>
        <v/>
      </c>
      <c r="C11" s="13" t="inlineStr">
        <is>
          <t>Platforma din lemn pentru depozitare materiale in santier</t>
        </is>
      </c>
      <c r="D11" s="87">
        <f>"mp"</f>
        <v/>
      </c>
      <c r="E11" s="210" t="inlineStr">
        <is>
          <t>11.0</t>
        </is>
      </c>
      <c r="F11" s="211">
        <f>E11</f>
        <v/>
      </c>
    </row>
    <row r="12" ht="67.5" customFormat="1" customHeight="1" s="263">
      <c r="A12" s="123" t="n">
        <v>9</v>
      </c>
      <c r="B12" s="87">
        <f>"RPCT26C1"</f>
        <v/>
      </c>
      <c r="C12" s="13" t="inlineStr">
        <is>
          <t>Desfacerea învelitorilor din...azbociment, eternit, material plastic colorat diferit, plane sau ondulate, asezate pe sipci batute pe astereala sau direct pe capriori, inclusiv desfacerea sipcilor, doliilor, paziilor, sorturilor si racordarilor din tabla zincata</t>
        </is>
      </c>
      <c r="D12" s="87">
        <f>"mp"</f>
        <v/>
      </c>
      <c r="E12" s="210" t="inlineStr">
        <is>
          <t>23.0</t>
        </is>
      </c>
      <c r="F12" s="211">
        <f>E12</f>
        <v/>
      </c>
    </row>
    <row r="13" ht="27" customFormat="1" customHeight="1" s="263">
      <c r="A13" s="123" t="n">
        <v>10</v>
      </c>
      <c r="B13" s="87">
        <f>"RPCXH13A"</f>
        <v/>
      </c>
      <c r="C13" s="13" t="inlineStr">
        <is>
          <t>Desfacerea ...sarpantei acoperis cu toate elementele incl. sortarea si stivuirea materialelor.</t>
        </is>
      </c>
      <c r="D13" s="87">
        <f>"mp"</f>
        <v/>
      </c>
      <c r="E13" s="210" t="inlineStr">
        <is>
          <t>20.0</t>
        </is>
      </c>
      <c r="F13" s="211">
        <f>E13</f>
        <v/>
      </c>
    </row>
    <row r="14" ht="40.5" customFormat="1" customHeight="1" s="263">
      <c r="A14" s="123" t="n">
        <v>11</v>
      </c>
      <c r="B14" s="87">
        <f>"RPCT02E1[ 1 ]"</f>
        <v/>
      </c>
      <c r="C14" s="13" t="inlineStr">
        <is>
          <t>Demolarea peretilor despartitori executati din materiale usoare, scandura rasinoase la constructii provizorii</t>
        </is>
      </c>
      <c r="D14" s="87">
        <f>"mp"</f>
        <v/>
      </c>
      <c r="E14" s="210" t="inlineStr">
        <is>
          <t>51.0</t>
        </is>
      </c>
      <c r="F14" s="211">
        <f>E14</f>
        <v/>
      </c>
    </row>
    <row r="15" ht="27" customFormat="1" customHeight="1" s="263">
      <c r="A15" s="123" t="n">
        <v>12</v>
      </c>
      <c r="B15" s="87">
        <f>"+SA02A1"</f>
        <v/>
      </c>
      <c r="C15" s="13" t="inlineStr">
        <is>
          <t>Montare cabina wc monobloc ecologica pentru organizare de santier</t>
        </is>
      </c>
      <c r="D15" s="87">
        <f>"buc"</f>
        <v/>
      </c>
      <c r="E15" s="210" t="inlineStr">
        <is>
          <t>1.0</t>
        </is>
      </c>
      <c r="F15" s="211">
        <f>E15</f>
        <v/>
      </c>
    </row>
    <row r="16" ht="27" customFormat="1" customHeight="1" s="263">
      <c r="A16" s="123" t="n">
        <v>13</v>
      </c>
      <c r="B16" s="87">
        <f>"+SA03A1"</f>
        <v/>
      </c>
      <c r="C16" s="13" t="inlineStr">
        <is>
          <t>Demontare cabina wc monobloc ecologica pentru organizare de santier</t>
        </is>
      </c>
      <c r="D16" s="87">
        <f>"buc"</f>
        <v/>
      </c>
      <c r="E16" s="210" t="inlineStr">
        <is>
          <t>1.0</t>
        </is>
      </c>
      <c r="F16" s="211">
        <f>E16</f>
        <v/>
      </c>
    </row>
    <row r="17" ht="27" customFormat="1" customHeight="1" s="263">
      <c r="A17" s="123" t="n">
        <v>14</v>
      </c>
      <c r="B17" s="87">
        <f>"+RPCA04A1 [3]"</f>
        <v/>
      </c>
      <c r="C17" s="13" t="inlineStr">
        <is>
          <t>Panou pentru identificarea investitiei.</t>
        </is>
      </c>
      <c r="D17" s="87">
        <f>"buc"</f>
        <v/>
      </c>
      <c r="E17" s="210" t="inlineStr">
        <is>
          <t>1.0</t>
        </is>
      </c>
      <c r="F17" s="211">
        <f>E17</f>
        <v/>
      </c>
    </row>
    <row r="18" ht="27" customFormat="1" customHeight="1" s="263">
      <c r="A18" s="123" t="n">
        <v>15</v>
      </c>
      <c r="B18" s="87">
        <f>"+RPCA02A1"</f>
        <v/>
      </c>
      <c r="C18" s="13" t="inlineStr">
        <is>
          <t>Demontarea  panoului de indentificare a investitiei</t>
        </is>
      </c>
      <c r="D18" s="87">
        <f>"buc"</f>
        <v/>
      </c>
      <c r="E18" s="210" t="inlineStr">
        <is>
          <t>1.0</t>
        </is>
      </c>
      <c r="F18" s="211">
        <f>E18</f>
        <v/>
      </c>
    </row>
    <row r="19" ht="27" customFormat="1" customHeight="1" s="263">
      <c r="A19" s="123" t="n">
        <v>16</v>
      </c>
      <c r="B19" s="87">
        <f>"EF02A1 [1]"</f>
        <v/>
      </c>
      <c r="C19" s="13" t="inlineStr">
        <is>
          <t xml:space="preserve">Asimilat - Montare si racordare tablou electric de organizare de santier </t>
        </is>
      </c>
      <c r="D19" s="87">
        <f>"buc"</f>
        <v/>
      </c>
      <c r="E19" s="210" t="inlineStr">
        <is>
          <t>1.0</t>
        </is>
      </c>
      <c r="F19" s="211">
        <f>E19</f>
        <v/>
      </c>
    </row>
    <row r="20" ht="27" customFormat="1" customHeight="1" s="263">
      <c r="A20" s="123" t="n">
        <v>17</v>
      </c>
      <c r="B20" s="87">
        <f>"RPEG19C1 [1]"</f>
        <v/>
      </c>
      <c r="C20" s="13" t="inlineStr">
        <is>
          <t>Asimilat - Demontare tablou electric pentru organizare de santier</t>
        </is>
      </c>
      <c r="D20" s="87">
        <f>"buc"</f>
        <v/>
      </c>
      <c r="E20" s="210" t="inlineStr">
        <is>
          <t>1.0</t>
        </is>
      </c>
      <c r="F20" s="211">
        <f>E20</f>
        <v/>
      </c>
    </row>
    <row r="21" ht="27" customFormat="1" customHeight="1" s="263">
      <c r="A21" s="123" t="n">
        <v>18</v>
      </c>
      <c r="B21" s="87">
        <f>"RPAA10B1 [1]"</f>
        <v/>
      </c>
      <c r="C21" s="13" t="inlineStr">
        <is>
          <t xml:space="preserve">Demontare contor apa D=30mm la organizare de santier </t>
        </is>
      </c>
      <c r="D21" s="87">
        <f>"buc"</f>
        <v/>
      </c>
      <c r="E21" s="210" t="inlineStr">
        <is>
          <t>1.0</t>
        </is>
      </c>
      <c r="F21" s="211">
        <f>E21</f>
        <v/>
      </c>
    </row>
    <row r="22" ht="27" customFormat="1" customHeight="1" s="263">
      <c r="A22" s="123" t="n">
        <v>19</v>
      </c>
      <c r="B22" s="87">
        <f>"ACE12C1 [8]"</f>
        <v/>
      </c>
      <c r="C22" s="13" t="inlineStr">
        <is>
          <t>Montare contor de apa cu palete avand d 30 mm pentru organizare de santier</t>
        </is>
      </c>
      <c r="D22" s="87">
        <f>"buc"</f>
        <v/>
      </c>
      <c r="E22" s="210" t="inlineStr">
        <is>
          <t>1.0</t>
        </is>
      </c>
      <c r="F22" s="211">
        <f>E22</f>
        <v/>
      </c>
    </row>
    <row r="23" ht="40.5" customFormat="1" customHeight="1" s="263">
      <c r="A23" s="123" t="n">
        <v>20</v>
      </c>
      <c r="B23" s="87">
        <f>"TRI1AA01F1"</f>
        <v/>
      </c>
      <c r="C23" s="13" t="inlineStr">
        <is>
          <t>Incarcarea materialelor, grupa a-grele si...marunte,prin tran.pina la 10m rampa sau teren-auto cate</t>
        </is>
      </c>
      <c r="D23" s="87">
        <f>"tona"</f>
        <v/>
      </c>
      <c r="E23" s="210" t="inlineStr">
        <is>
          <t>5.0</t>
        </is>
      </c>
      <c r="F23" s="211">
        <f>E23</f>
        <v/>
      </c>
    </row>
    <row r="24" ht="27" customFormat="1" customHeight="1" s="263">
      <c r="A24" s="123" t="n">
        <v>21</v>
      </c>
      <c r="B24" s="87">
        <f>"TRA02A10"</f>
        <v/>
      </c>
      <c r="C24" s="13" t="inlineStr">
        <is>
          <t>Transportul rutier al materialelor,semifabricatelor cu autocamionul pe dist.= ...10 km.</t>
        </is>
      </c>
      <c r="D24" s="87">
        <f>"tona"</f>
        <v/>
      </c>
      <c r="E24" s="210" t="inlineStr">
        <is>
          <t>5.0</t>
        </is>
      </c>
      <c r="F24" s="211">
        <f>E24</f>
        <v/>
      </c>
    </row>
  </sheetData>
  <pageMargins left="0.7" right="0.7" top="0.75" bottom="0.75" header="0.511811023622047" footer="0.511811023622047"/>
  <pageSetup orientation="portrait" paperSize="9" horizontalDpi="300" verticalDpi="300"/>
</worksheet>
</file>

<file path=xl/worksheets/sheet35.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sheetData>
    <row r="1">
      <c r="A1" t="inlineStr">
        <is>
          <t>BUILDCODE STUDIO — ANTEMĂSURĂTOARE AUTOMATĂ DIN MODELUL CANONIC BIM &amp; MOTORUL DE CANTITĂȚI AUTOMATE (R02..R89)</t>
        </is>
      </c>
    </row>
    <row r="3">
      <c r="A3" t="inlineStr">
        <is>
          <t>Nivel</t>
        </is>
      </c>
      <c r="B3" t="inlineStr">
        <is>
          <t>Cotă Z nivel (m)</t>
        </is>
      </c>
      <c r="C3" t="inlineStr">
        <is>
          <t>Cotă Z podest (m)</t>
        </is>
      </c>
      <c r="D3" t="inlineStr">
        <is>
          <t>H liber (m)</t>
        </is>
      </c>
      <c r="E3" t="inlineStr">
        <is>
          <t>Perimetru ext. (m)</t>
        </is>
      </c>
      <c r="F3" t="inlineStr">
        <is>
          <t>Arie construită (mp)</t>
        </is>
      </c>
      <c r="G3" t="inlineStr">
        <is>
          <t>Arie utilă (mp)</t>
        </is>
      </c>
      <c r="H3" t="inlineStr">
        <is>
          <t>Arie netă pereți (mp)</t>
        </is>
      </c>
    </row>
    <row r="4">
      <c r="A4" t="inlineStr">
        <is>
          <t>Subsol Tehnic</t>
        </is>
      </c>
      <c r="B4" t="n">
        <v>-2.5</v>
      </c>
      <c r="C4" t="inlineStr">
        <is>
          <t>—</t>
        </is>
      </c>
      <c r="D4" t="n">
        <v>2.35</v>
      </c>
      <c r="E4" t="n">
        <v>88.62</v>
      </c>
      <c r="F4" t="n">
        <v>350.84</v>
      </c>
      <c r="G4" t="n">
        <v>283.35</v>
      </c>
      <c r="H4" t="n">
        <v>252.33</v>
      </c>
    </row>
    <row r="5">
      <c r="A5" t="inlineStr">
        <is>
          <t>Parter</t>
        </is>
      </c>
      <c r="B5" t="n">
        <v>0</v>
      </c>
      <c r="C5" t="n">
        <v>0.3</v>
      </c>
      <c r="D5" t="n">
        <v>2.83</v>
      </c>
      <c r="E5" t="n">
        <v>88.62</v>
      </c>
      <c r="F5" t="n">
        <v>350.84</v>
      </c>
      <c r="G5" t="n">
        <v>272.14</v>
      </c>
      <c r="H5" t="n">
        <v>252.33</v>
      </c>
    </row>
    <row r="6">
      <c r="A6" t="inlineStr">
        <is>
          <t>Etaj 1</t>
        </is>
      </c>
      <c r="B6" t="n">
        <v>2.98</v>
      </c>
      <c r="C6" t="n">
        <v>3.11</v>
      </c>
      <c r="D6" t="n">
        <v>2.63</v>
      </c>
      <c r="E6" t="n">
        <v>88.62</v>
      </c>
      <c r="F6" t="n">
        <v>350.84</v>
      </c>
      <c r="G6" t="n">
        <v>283.96</v>
      </c>
      <c r="H6" t="n">
        <v>252.33</v>
      </c>
    </row>
    <row r="7">
      <c r="A7" t="inlineStr">
        <is>
          <t>Etaj 2</t>
        </is>
      </c>
      <c r="B7" t="n">
        <v>5.76</v>
      </c>
      <c r="C7" t="n">
        <v>5.9</v>
      </c>
      <c r="D7" t="n">
        <v>2.66</v>
      </c>
      <c r="E7" t="n">
        <v>88.62</v>
      </c>
      <c r="F7" t="n">
        <v>350.84</v>
      </c>
      <c r="G7" t="n">
        <v>283.96</v>
      </c>
      <c r="H7" t="n">
        <v>252.33</v>
      </c>
    </row>
    <row r="8">
      <c r="A8" t="inlineStr">
        <is>
          <t>Etaj 3</t>
        </is>
      </c>
      <c r="B8" t="n">
        <v>8.57</v>
      </c>
      <c r="C8" t="n">
        <v>8.720000000000001</v>
      </c>
      <c r="D8" t="n">
        <v>2.56</v>
      </c>
      <c r="E8" t="n">
        <v>88.62</v>
      </c>
      <c r="F8" t="n">
        <v>350.84</v>
      </c>
      <c r="G8" t="n">
        <v>283.96</v>
      </c>
      <c r="H8" t="n">
        <v>252.33</v>
      </c>
    </row>
    <row r="9">
      <c r="A9" t="inlineStr">
        <is>
          <t>Etaj 4</t>
        </is>
      </c>
      <c r="B9" t="n">
        <v>11.28</v>
      </c>
      <c r="C9" t="n">
        <v>11.54</v>
      </c>
      <c r="D9" t="n">
        <v>2.87</v>
      </c>
      <c r="E9" t="n">
        <v>88.62</v>
      </c>
      <c r="F9" t="n">
        <v>350.84</v>
      </c>
      <c r="G9" t="n">
        <v>283.96</v>
      </c>
      <c r="H9" t="n">
        <v>252.33</v>
      </c>
    </row>
    <row r="10">
      <c r="A10" t="inlineStr">
        <is>
          <t>TOTAL CLĂDIRE</t>
        </is>
      </c>
      <c r="B10" t="inlineStr">
        <is>
          <t>—</t>
        </is>
      </c>
      <c r="C10" t="inlineStr">
        <is>
          <t>—</t>
        </is>
      </c>
      <c r="D10" t="n">
        <v>2.65</v>
      </c>
      <c r="E10" t="n">
        <v>88.62</v>
      </c>
      <c r="F10" t="n">
        <v>1754.2</v>
      </c>
      <c r="G10" t="n">
        <v>1691.33</v>
      </c>
      <c r="H10" t="n">
        <v>1261.67</v>
      </c>
    </row>
    <row r="12">
      <c r="A12" t="inlineStr">
        <is>
          <t>Cod</t>
        </is>
      </c>
      <c r="B12" t="inlineStr">
        <is>
          <t>Categorie element / articol antemăsurătoare</t>
        </is>
      </c>
      <c r="C12" t="inlineStr">
        <is>
          <t>U.M.</t>
        </is>
      </c>
      <c r="D12" t="inlineStr">
        <is>
          <t>Cantitate</t>
        </is>
      </c>
      <c r="E12" t="inlineStr">
        <is>
          <t>Formulă / trasabilitate BIM</t>
        </is>
      </c>
    </row>
    <row r="13">
      <c r="A13" t="inlineStr">
        <is>
          <t>ARH-FAT-01</t>
        </is>
      </c>
      <c r="B13" t="inlineStr">
        <is>
          <t>Termosistem fațadă opacă vată minerală bazaltică d=15 cm (clasa A1)</t>
        </is>
      </c>
      <c r="C13" t="inlineStr">
        <is>
          <t>m²</t>
        </is>
      </c>
      <c r="D13" t="n">
        <v>1261.67</v>
      </c>
      <c r="E13" t="inlineStr">
        <is>
          <t>A_brut(1578.32) - A_tâmplărie_ext(316.65)</t>
        </is>
      </c>
    </row>
    <row r="14">
      <c r="A14" t="inlineStr">
        <is>
          <t>ARH-TAM-01</t>
        </is>
      </c>
      <c r="B14" t="inlineStr">
        <is>
          <t>Tâmplărie exterioară PVC/Al cu geam tripan Low-E (inclusiv uși balcon U3)</t>
        </is>
      </c>
      <c r="C14" t="inlineStr">
        <is>
          <t>m²</t>
        </is>
      </c>
      <c r="D14" t="n">
        <v>316.65</v>
      </c>
      <c r="E14" t="inlineStr">
        <is>
          <t>A_ferestre_ext(211.41) + A_uși_ext_balcon(105.24) [136 goluri ext., 38 uși ext.]</t>
        </is>
      </c>
    </row>
    <row r="15">
      <c r="A15" t="inlineStr">
        <is>
          <t>ARH-SOC-01</t>
        </is>
      </c>
      <c r="B15" t="inlineStr">
        <is>
          <t>Termoizolație soclu polistiren extrudat ignifugat XPS d=10 cm</t>
        </is>
      </c>
      <c r="C15" t="inlineStr">
        <is>
          <t>m²</t>
        </is>
      </c>
      <c r="D15" t="n">
        <v>79.76000000000001</v>
      </c>
      <c r="E15" t="inlineStr">
        <is>
          <t>P_ext_poligonal(88.62) × 0.90 m</t>
        </is>
      </c>
    </row>
    <row r="16">
      <c r="A16" t="inlineStr">
        <is>
          <t>ARH-TER-01</t>
        </is>
      </c>
      <c r="B16" t="inlineStr">
        <is>
          <t>Termoizolație planșeu superior / terasă d=25 cm</t>
        </is>
      </c>
      <c r="C16" t="inlineStr">
        <is>
          <t>m²</t>
        </is>
      </c>
      <c r="D16" t="n">
        <v>322.77</v>
      </c>
      <c r="E16" t="inlineStr">
        <is>
          <t>A_termo_planșeu_superior(322.77 m²)</t>
        </is>
      </c>
    </row>
  </sheetData>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O3"/>
  <sheetViews>
    <sheetView workbookViewId="0">
      <selection activeCell="A1" sqref="A1"/>
    </sheetView>
  </sheetViews>
  <sheetFormatPr baseColWidth="8" defaultRowHeight="15"/>
  <cols>
    <col width="18" customWidth="1" style="23" min="1" max="1"/>
    <col width="18" customWidth="1" style="23" min="2" max="2"/>
    <col width="18" customWidth="1" style="23" min="3" max="3"/>
    <col width="18" customWidth="1" style="23" min="4" max="4"/>
    <col width="18" customWidth="1" style="23" min="5" max="5"/>
    <col width="18" customWidth="1" style="23" min="6" max="6"/>
    <col width="18" customWidth="1" style="23" min="7" max="7"/>
    <col width="18" customWidth="1" style="23" min="8" max="8"/>
    <col width="18" customWidth="1" style="23" min="9" max="9"/>
    <col width="18" customWidth="1" style="23" min="10" max="10"/>
    <col width="18" customWidth="1" style="23" min="11" max="11"/>
    <col width="18" customWidth="1" style="23" min="12" max="12"/>
    <col width="18" customWidth="1" style="23" min="13" max="13"/>
    <col width="18" customWidth="1" style="23" min="14" max="14"/>
    <col width="18" customWidth="1" style="23" min="15" max="15"/>
  </cols>
  <sheetData>
    <row r="1">
      <c r="A1" s="288" t="inlineStr">
        <is>
          <t>SUMAR CANTITĂȚI FAȚADE &amp; TERMOSISTEM — BUILDCODE STUDIO</t>
        </is>
      </c>
    </row>
    <row r="3">
      <c r="A3" s="289" t="inlineStr">
        <is>
          <t>Fațadă</t>
        </is>
      </c>
      <c r="B3" s="289" t="inlineStr">
        <is>
          <t>Sup. Totală (m²)</t>
        </is>
      </c>
      <c r="C3" s="289" t="inlineStr">
        <is>
          <t>Tâmplărie (m²)</t>
        </is>
      </c>
      <c r="D3" s="289" t="inlineStr">
        <is>
          <t>Termosistem (m²)</t>
        </is>
      </c>
      <c r="E3" s="289" t="inlineStr">
        <is>
          <t>Soclu exclus (m²)</t>
        </is>
      </c>
      <c r="F3" s="289" t="inlineStr">
        <is>
          <t>Glaf exterior (m)</t>
        </is>
      </c>
      <c r="G3" s="289" t="inlineStr">
        <is>
          <t>Glaf interior (m)</t>
        </is>
      </c>
      <c r="H3" s="289" t="inlineStr">
        <is>
          <t>Picurător ferestre (m)</t>
        </is>
      </c>
      <c r="I3" s="289" t="inlineStr">
        <is>
          <t>Colțare ferestre (m)</t>
        </is>
      </c>
      <c r="J3" s="289" t="inlineStr">
        <is>
          <t>Picurător uși (m)</t>
        </is>
      </c>
      <c r="K3" s="289" t="inlineStr">
        <is>
          <t>Colțare uși (m)</t>
        </is>
      </c>
      <c r="L3" s="289" t="inlineStr">
        <is>
          <t>Colțar exterior (m)</t>
        </is>
      </c>
      <c r="M3" s="289" t="inlineStr">
        <is>
          <t>Picurător soclu (m)</t>
        </is>
      </c>
      <c r="N3" s="289" t="inlineStr">
        <is>
          <t>Perimetru ferestre (m)</t>
        </is>
      </c>
      <c r="O3" s="289" t="inlineStr">
        <is>
          <t>Perimetru uși (m)</t>
        </is>
      </c>
    </row>
  </sheetData>
  <mergeCells count="1">
    <mergeCell ref="A1:O1"/>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44" customWidth="1" style="23" min="1" max="1"/>
    <col width="16" customWidth="1" style="23" min="2" max="2"/>
    <col width="16" customWidth="1" style="23" min="3" max="3"/>
  </cols>
  <sheetData>
    <row r="1">
      <c r="A1" s="288" t="inlineStr">
        <is>
          <t>LISTA CANTITĂȚI TERMOIZOLARE — BUILDCODE STUDIO</t>
        </is>
      </c>
    </row>
    <row r="2">
      <c r="A2" t="inlineStr">
        <is>
          <t>Generat automat:</t>
        </is>
      </c>
      <c r="B2" t="inlineStr">
        <is>
          <t>28.10.2026 11:24</t>
        </is>
      </c>
      <c r="C2" t="inlineStr"/>
    </row>
    <row r="3">
      <c r="A3" s="290" t="inlineStr">
        <is>
          <t>Descriere element / categorie</t>
        </is>
      </c>
      <c r="B3" s="290" t="inlineStr">
        <is>
          <t>Suprafață (mp)</t>
        </is>
      </c>
      <c r="C3" s="290" t="inlineStr">
        <is>
          <t>Lungime (ml)</t>
        </is>
      </c>
    </row>
    <row r="4">
      <c r="A4" s="291" t="inlineStr">
        <is>
          <t>1. SUPRAFEȚE PRINCIPALE</t>
        </is>
      </c>
      <c r="B4" s="291" t="n"/>
      <c r="C4" s="291" t="n"/>
    </row>
    <row r="5">
      <c r="A5" s="292" t="inlineStr">
        <is>
          <t>Aria plan (Amprentă parter Ac)</t>
        </is>
      </c>
      <c r="B5" s="293" t="n">
        <v>350.84</v>
      </c>
      <c r="C5" s="293" t="n"/>
    </row>
    <row r="6">
      <c r="A6" s="292" t="inlineStr">
        <is>
          <t>Perimetru plan exterior</t>
        </is>
      </c>
      <c r="B6" s="293" t="n"/>
      <c r="C6" s="293" t="n">
        <v>88.62</v>
      </c>
    </row>
    <row r="7">
      <c r="A7" s="292" t="inlineStr">
        <is>
          <t>Pod / Terasă termoizolată</t>
        </is>
      </c>
      <c r="B7" s="293" t="n">
        <v>0</v>
      </c>
      <c r="C7" s="293" t="n"/>
    </row>
    <row r="8">
      <c r="A8" s="292" t="inlineStr">
        <is>
          <t>Fațade total (arie brută)</t>
        </is>
      </c>
      <c r="B8" s="293" t="n">
        <v>0</v>
      </c>
      <c r="C8" s="293" t="n"/>
    </row>
    <row r="9">
      <c r="A9" s="292" t="inlineStr">
        <is>
          <t>Fațade fără goluri (termosistem net)</t>
        </is>
      </c>
      <c r="B9" s="293" t="n">
        <v>0</v>
      </c>
      <c r="C9" s="293" t="n"/>
    </row>
    <row r="10">
      <c r="A10" s="292" t="inlineStr">
        <is>
          <t>Soclu termoizolat cu XPS</t>
        </is>
      </c>
      <c r="B10" s="293" t="n">
        <v>0</v>
      </c>
      <c r="C10" s="293" t="n"/>
    </row>
    <row r="11">
      <c r="A11" s="291" t="inlineStr">
        <is>
          <t>2. FERESTRE &amp; LOGII / BALCOANE</t>
        </is>
      </c>
      <c r="B11" s="291" t="n"/>
      <c r="C11" s="291" t="n"/>
    </row>
    <row r="12">
      <c r="A12" s="292" t="inlineStr">
        <is>
          <t>Suprafață ferestre spații individuale (F SI)</t>
        </is>
      </c>
      <c r="B12" s="293" t="n">
        <v>0</v>
      </c>
      <c r="C12" s="293" t="n"/>
    </row>
    <row r="13">
      <c r="A13" s="292" t="inlineStr">
        <is>
          <t>Suprafață ferestre &amp; trafoare spații comune (F SC)</t>
        </is>
      </c>
      <c r="B13" s="293" t="n">
        <v>0</v>
      </c>
      <c r="C13" s="293" t="n"/>
    </row>
    <row r="14">
      <c r="A14" s="292" t="inlineStr">
        <is>
          <t>Închidere balcoane cu tâmplărie PVC Tripan</t>
        </is>
      </c>
      <c r="B14" s="293" t="n">
        <v>0</v>
      </c>
      <c r="C14" s="293" t="n"/>
    </row>
    <row r="15">
      <c r="A15" s="292" t="inlineStr">
        <is>
          <t>Glafuri exterioare aluminiu</t>
        </is>
      </c>
      <c r="B15" s="293" t="n"/>
      <c r="C15" s="293" t="n">
        <v>0</v>
      </c>
    </row>
    <row r="16">
      <c r="A16" s="292" t="inlineStr">
        <is>
          <t>Glafuri interioare PVC</t>
        </is>
      </c>
      <c r="B16" s="293" t="n"/>
      <c r="C16" s="293" t="n">
        <v>0</v>
      </c>
    </row>
    <row r="17">
      <c r="A17" s="292" t="inlineStr">
        <is>
          <t>Profil picurător + colțare ferestre</t>
        </is>
      </c>
      <c r="B17" s="293" t="n"/>
      <c r="C17" s="293" t="n">
        <v>0</v>
      </c>
    </row>
    <row r="18">
      <c r="A18" s="292" t="inlineStr">
        <is>
          <t>Șpaleți ferestre (3 laturi)</t>
        </is>
      </c>
      <c r="B18" s="293" t="n"/>
      <c r="C18" s="293" t="n">
        <v>0</v>
      </c>
    </row>
    <row r="19">
      <c r="A19" s="291" t="inlineStr">
        <is>
          <t>3. UȘI EXTERIOARE ACCES</t>
        </is>
      </c>
      <c r="B19" s="291" t="n"/>
      <c r="C19" s="291" t="n"/>
    </row>
    <row r="20">
      <c r="A20" s="292" t="inlineStr">
        <is>
          <t>Suprafață uși exterioare acces casă scară (U SC)</t>
        </is>
      </c>
      <c r="B20" s="293" t="n">
        <v>0</v>
      </c>
      <c r="C20" s="293" t="n"/>
    </row>
    <row r="21">
      <c r="A21" s="292" t="inlineStr">
        <is>
          <t>Șpaleți uși exterioare (L + 2H)</t>
        </is>
      </c>
      <c r="B21" s="293" t="n"/>
      <c r="C21" s="293" t="n">
        <v>0</v>
      </c>
    </row>
    <row r="22">
      <c r="A22" s="291" t="inlineStr">
        <is>
          <t>4. ELEMENTE PERIMETRALE</t>
        </is>
      </c>
      <c r="B22" s="291" t="n"/>
      <c r="C22" s="291" t="n"/>
    </row>
    <row r="23">
      <c r="A23" s="292" t="inlineStr">
        <is>
          <t>Profil picurător soclu</t>
        </is>
      </c>
      <c r="B23" s="293" t="n"/>
      <c r="C23" s="293" t="n">
        <v>0</v>
      </c>
    </row>
    <row r="24">
      <c r="A24" s="292" t="inlineStr">
        <is>
          <t>Colțar exterior cu plasă fibră de sticlă</t>
        </is>
      </c>
      <c r="B24" s="293" t="n"/>
      <c r="C24" s="293" t="n">
        <v>0</v>
      </c>
    </row>
    <row r="25">
      <c r="A25" s="292" t="inlineStr">
        <is>
          <t>Trotuar perimetral de protecție (l=1.00 m)</t>
        </is>
      </c>
      <c r="B25" s="293" t="n">
        <v>96.62</v>
      </c>
      <c r="C25" s="293" t="n"/>
    </row>
    <row r="26">
      <c r="A26" s="291" t="inlineStr">
        <is>
          <t>5. ELEMENTE PARAZITE FAȚADĂ (DEMONTARE / REMONTARE)</t>
        </is>
      </c>
      <c r="B26" s="291" t="n"/>
      <c r="C26" s="291" t="n"/>
    </row>
    <row r="27">
      <c r="A27" s="292" t="inlineStr">
        <is>
          <t>Cabluri aparente pe fațadă (demontare + pozare în tub)</t>
        </is>
      </c>
      <c r="B27" s="293" t="n"/>
      <c r="C27" s="293" t="n">
        <v>0</v>
      </c>
    </row>
    <row r="28">
      <c r="A28" s="292" t="inlineStr">
        <is>
          <t>Conducte gaze naturale aparente (distanțare + remontare)</t>
        </is>
      </c>
      <c r="B28" s="293" t="n"/>
      <c r="C28" s="293" t="n">
        <v>0</v>
      </c>
    </row>
    <row r="29">
      <c r="A29" s="292" t="inlineStr">
        <is>
          <t>Unități exterioare AC &amp; antene parazite (buc.)</t>
        </is>
      </c>
      <c r="B29" s="293" t="n">
        <v>0</v>
      </c>
      <c r="C29" s="293" t="n"/>
    </row>
  </sheetData>
  <mergeCells count="1">
    <mergeCell ref="A1:C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Admin</dc:creator>
  <dc:language xmlns:dc="http://purl.org/dc/elements/1.1/">en-US</dc:language>
  <dcterms:created xmlns:dcterms="http://purl.org/dc/terms/" xmlns:xsi="http://www.w3.org/2001/XMLSchema-instance" xsi:type="dcterms:W3CDTF">2022-11-21T13:10:38Z</dcterms:created>
  <dcterms:modified xmlns:dcterms="http://purl.org/dc/terms/" xmlns:xsi="http://www.w3.org/2001/XMLSchema-instance" xsi:type="dcterms:W3CDTF">2026-10-28T09:24:32Z</dcterms:modified>
  <cp:lastModifiedBy>Ada</cp:lastModifiedBy>
  <cp:revision>0</cp:revision>
  <cp:lastPrinted>2024-02-27T14:23:27Z</cp:lastPrinted>
</cp:coreProperties>
</file>